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6 Z RAPORLARI\"/>
    </mc:Choice>
  </mc:AlternateContent>
  <bookViews>
    <workbookView xWindow="0" yWindow="0" windowWidth="23040" windowHeight="9084" activeTab="1"/>
  </bookViews>
  <sheets>
    <sheet name="OCAK" sheetId="13" r:id="rId1"/>
    <sheet name="ŞUBAT" sheetId="1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4" l="1"/>
  <c r="R10" i="14"/>
  <c r="H10" i="14"/>
  <c r="E10" i="14"/>
  <c r="B10" i="14"/>
  <c r="R3" i="14" l="1"/>
  <c r="B3" i="14"/>
  <c r="U54" i="13"/>
  <c r="U52" i="13"/>
  <c r="B55" i="13" l="1"/>
  <c r="B53" i="13"/>
  <c r="B51" i="13"/>
  <c r="T3" i="13"/>
  <c r="U3" i="13"/>
  <c r="U41" i="13"/>
  <c r="Q38" i="13"/>
  <c r="R28" i="13"/>
  <c r="E28" i="13"/>
  <c r="B28" i="13"/>
  <c r="T39" i="13" l="1"/>
  <c r="Q39" i="13"/>
  <c r="R3" i="13" l="1"/>
  <c r="H3" i="13"/>
  <c r="E3" i="13"/>
  <c r="B3" i="13"/>
  <c r="S9" i="14" l="1"/>
  <c r="R9" i="14"/>
  <c r="H9" i="14"/>
  <c r="E9" i="14"/>
  <c r="B9" i="14"/>
  <c r="T8" i="14"/>
  <c r="U8" i="14"/>
  <c r="R8" i="14"/>
  <c r="E8" i="14"/>
  <c r="B8" i="14"/>
  <c r="U7" i="14"/>
  <c r="R7" i="14"/>
  <c r="Q7" i="14"/>
  <c r="H7" i="14"/>
  <c r="E7" i="14"/>
  <c r="B7" i="14"/>
  <c r="U6" i="14" l="1"/>
  <c r="R6" i="14"/>
  <c r="Q6" i="14"/>
  <c r="H6" i="14"/>
  <c r="E6" i="14"/>
  <c r="B6" i="14"/>
  <c r="R5" i="14"/>
  <c r="Q5" i="14"/>
  <c r="H5" i="14"/>
  <c r="E5" i="14"/>
  <c r="B5" i="14"/>
  <c r="U4" i="14"/>
  <c r="R4" i="14"/>
  <c r="Q4" i="14"/>
  <c r="H4" i="14"/>
  <c r="E4" i="14"/>
  <c r="B4" i="14"/>
  <c r="J45" i="13" l="1"/>
  <c r="J42" i="13"/>
  <c r="J41" i="13"/>
  <c r="J38" i="13"/>
  <c r="U48" i="13"/>
  <c r="J43" i="13"/>
  <c r="D43" i="13"/>
  <c r="C43" i="13"/>
  <c r="B43" i="13"/>
  <c r="E42" i="13"/>
  <c r="E41" i="13"/>
  <c r="D40" i="13"/>
  <c r="C40" i="13"/>
  <c r="B40" i="13"/>
  <c r="S39" i="13"/>
  <c r="O39" i="13"/>
  <c r="E39" i="13"/>
  <c r="S38" i="13"/>
  <c r="T38" i="13" s="1"/>
  <c r="J40" i="13"/>
  <c r="E38" i="13"/>
  <c r="V39" i="13" l="1"/>
  <c r="S40" i="13"/>
  <c r="D44" i="13"/>
  <c r="C44" i="13"/>
  <c r="C46" i="13" s="1"/>
  <c r="E43" i="13"/>
  <c r="B44" i="13"/>
  <c r="B46" i="13" s="1"/>
  <c r="E40" i="13"/>
  <c r="U44" i="13" s="1"/>
  <c r="J44" i="13"/>
  <c r="V38" i="13" l="1"/>
  <c r="T40" i="13"/>
  <c r="U40" i="13" s="1"/>
  <c r="U45" i="13" s="1"/>
  <c r="U49" i="13" s="1"/>
  <c r="U3" i="14" l="1"/>
  <c r="Q3" i="14"/>
  <c r="Q29" i="14" s="1"/>
  <c r="H3" i="14"/>
  <c r="E3" i="14"/>
  <c r="C3" i="14"/>
  <c r="D3" i="14" s="1"/>
  <c r="E29" i="14"/>
  <c r="F16" i="14"/>
  <c r="G16" i="14" s="1"/>
  <c r="F17" i="14"/>
  <c r="G17" i="14" s="1"/>
  <c r="F18" i="14"/>
  <c r="G18" i="14" s="1"/>
  <c r="F24" i="14"/>
  <c r="G24" i="14" s="1"/>
  <c r="F25" i="14"/>
  <c r="G25" i="14" s="1"/>
  <c r="F26" i="14"/>
  <c r="G26" i="14" s="1"/>
  <c r="U29" i="14"/>
  <c r="T29" i="14"/>
  <c r="S29" i="14"/>
  <c r="R29" i="14"/>
  <c r="O28" i="14"/>
  <c r="P28" i="14" s="1"/>
  <c r="L28" i="14"/>
  <c r="M28" i="14" s="1"/>
  <c r="I28" i="14"/>
  <c r="J28" i="14" s="1"/>
  <c r="F28" i="14"/>
  <c r="G28" i="14" s="1"/>
  <c r="C28" i="14"/>
  <c r="D28" i="14" s="1"/>
  <c r="O27" i="14"/>
  <c r="P27" i="14" s="1"/>
  <c r="L27" i="14"/>
  <c r="M27" i="14" s="1"/>
  <c r="I27" i="14"/>
  <c r="J27" i="14" s="1"/>
  <c r="F27" i="14"/>
  <c r="G27" i="14" s="1"/>
  <c r="C27" i="14"/>
  <c r="D27" i="14" s="1"/>
  <c r="O26" i="14"/>
  <c r="P26" i="14" s="1"/>
  <c r="L26" i="14"/>
  <c r="M26" i="14" s="1"/>
  <c r="I26" i="14"/>
  <c r="J26" i="14" s="1"/>
  <c r="D26" i="14"/>
  <c r="C26" i="14"/>
  <c r="O25" i="14"/>
  <c r="P25" i="14" s="1"/>
  <c r="M25" i="14"/>
  <c r="L25" i="14"/>
  <c r="I25" i="14"/>
  <c r="J25" i="14" s="1"/>
  <c r="C25" i="14"/>
  <c r="D25" i="14" s="1"/>
  <c r="O24" i="14"/>
  <c r="P24" i="14" s="1"/>
  <c r="M24" i="14"/>
  <c r="L24" i="14"/>
  <c r="I24" i="14"/>
  <c r="J24" i="14" s="1"/>
  <c r="D24" i="14"/>
  <c r="C24" i="14"/>
  <c r="O23" i="14"/>
  <c r="P23" i="14" s="1"/>
  <c r="M23" i="14"/>
  <c r="L23" i="14"/>
  <c r="I23" i="14"/>
  <c r="J23" i="14" s="1"/>
  <c r="F23" i="14"/>
  <c r="G23" i="14" s="1"/>
  <c r="C23" i="14"/>
  <c r="D23" i="14" s="1"/>
  <c r="O22" i="14"/>
  <c r="P22" i="14" s="1"/>
  <c r="M22" i="14"/>
  <c r="L22" i="14"/>
  <c r="I22" i="14"/>
  <c r="J22" i="14" s="1"/>
  <c r="F22" i="14"/>
  <c r="G22" i="14" s="1"/>
  <c r="C22" i="14"/>
  <c r="D22" i="14" s="1"/>
  <c r="O21" i="14"/>
  <c r="P21" i="14" s="1"/>
  <c r="L21" i="14"/>
  <c r="M21" i="14" s="1"/>
  <c r="I21" i="14"/>
  <c r="J21" i="14" s="1"/>
  <c r="F21" i="14"/>
  <c r="G21" i="14" s="1"/>
  <c r="C21" i="14"/>
  <c r="D21" i="14" s="1"/>
  <c r="O20" i="14"/>
  <c r="P20" i="14" s="1"/>
  <c r="L20" i="14"/>
  <c r="M20" i="14" s="1"/>
  <c r="I20" i="14"/>
  <c r="J20" i="14" s="1"/>
  <c r="F20" i="14"/>
  <c r="G20" i="14" s="1"/>
  <c r="C20" i="14"/>
  <c r="D20" i="14" s="1"/>
  <c r="O19" i="14"/>
  <c r="P19" i="14" s="1"/>
  <c r="L19" i="14"/>
  <c r="M19" i="14" s="1"/>
  <c r="I19" i="14"/>
  <c r="J19" i="14" s="1"/>
  <c r="F19" i="14"/>
  <c r="G19" i="14" s="1"/>
  <c r="C19" i="14"/>
  <c r="D19" i="14" s="1"/>
  <c r="O18" i="14"/>
  <c r="P18" i="14" s="1"/>
  <c r="L18" i="14"/>
  <c r="M18" i="14" s="1"/>
  <c r="I18" i="14"/>
  <c r="J18" i="14" s="1"/>
  <c r="C18" i="14"/>
  <c r="D18" i="14" s="1"/>
  <c r="O17" i="14"/>
  <c r="P17" i="14" s="1"/>
  <c r="L17" i="14"/>
  <c r="M17" i="14" s="1"/>
  <c r="J17" i="14"/>
  <c r="I17" i="14"/>
  <c r="C17" i="14"/>
  <c r="D17" i="14" s="1"/>
  <c r="O16" i="14"/>
  <c r="P16" i="14" s="1"/>
  <c r="L16" i="14"/>
  <c r="M16" i="14" s="1"/>
  <c r="I16" i="14"/>
  <c r="J16" i="14" s="1"/>
  <c r="C16" i="14"/>
  <c r="D16" i="14" s="1"/>
  <c r="O15" i="14"/>
  <c r="P15" i="14" s="1"/>
  <c r="M15" i="14"/>
  <c r="L15" i="14"/>
  <c r="I15" i="14"/>
  <c r="J15" i="14" s="1"/>
  <c r="F15" i="14"/>
  <c r="G15" i="14" s="1"/>
  <c r="C15" i="14"/>
  <c r="D15" i="14" s="1"/>
  <c r="O14" i="14"/>
  <c r="P14" i="14" s="1"/>
  <c r="L14" i="14"/>
  <c r="M14" i="14" s="1"/>
  <c r="I14" i="14"/>
  <c r="J14" i="14" s="1"/>
  <c r="F14" i="14"/>
  <c r="G14" i="14" s="1"/>
  <c r="C14" i="14"/>
  <c r="D14" i="14" s="1"/>
  <c r="O13" i="14"/>
  <c r="P13" i="14" s="1"/>
  <c r="L13" i="14"/>
  <c r="M13" i="14" s="1"/>
  <c r="I13" i="14"/>
  <c r="J13" i="14" s="1"/>
  <c r="F13" i="14"/>
  <c r="G13" i="14" s="1"/>
  <c r="D13" i="14"/>
  <c r="C13" i="14"/>
  <c r="O12" i="14"/>
  <c r="P12" i="14" s="1"/>
  <c r="L12" i="14"/>
  <c r="M12" i="14" s="1"/>
  <c r="I12" i="14"/>
  <c r="J12" i="14" s="1"/>
  <c r="F12" i="14"/>
  <c r="G12" i="14" s="1"/>
  <c r="C12" i="14"/>
  <c r="D12" i="14" s="1"/>
  <c r="O11" i="14"/>
  <c r="P11" i="14" s="1"/>
  <c r="L11" i="14"/>
  <c r="M11" i="14" s="1"/>
  <c r="I11" i="14"/>
  <c r="J11" i="14" s="1"/>
  <c r="F11" i="14"/>
  <c r="G11" i="14" s="1"/>
  <c r="C11" i="14"/>
  <c r="D11" i="14" s="1"/>
  <c r="O10" i="14"/>
  <c r="P10" i="14" s="1"/>
  <c r="L10" i="14"/>
  <c r="M10" i="14" s="1"/>
  <c r="I10" i="14"/>
  <c r="J10" i="14" s="1"/>
  <c r="F10" i="14"/>
  <c r="G10" i="14" s="1"/>
  <c r="C10" i="14"/>
  <c r="D10" i="14" s="1"/>
  <c r="O9" i="14"/>
  <c r="P9" i="14" s="1"/>
  <c r="L9" i="14"/>
  <c r="M9" i="14" s="1"/>
  <c r="I9" i="14"/>
  <c r="J9" i="14" s="1"/>
  <c r="F9" i="14"/>
  <c r="G9" i="14" s="1"/>
  <c r="C9" i="14"/>
  <c r="D9" i="14" s="1"/>
  <c r="O8" i="14"/>
  <c r="P8" i="14" s="1"/>
  <c r="K29" i="14"/>
  <c r="L29" i="14" s="1"/>
  <c r="M29" i="14" s="1"/>
  <c r="I8" i="14"/>
  <c r="J8" i="14" s="1"/>
  <c r="F8" i="14"/>
  <c r="G8" i="14" s="1"/>
  <c r="C8" i="14"/>
  <c r="D8" i="14" s="1"/>
  <c r="O7" i="14"/>
  <c r="P7" i="14" s="1"/>
  <c r="L7" i="14"/>
  <c r="M7" i="14" s="1"/>
  <c r="I7" i="14"/>
  <c r="J7" i="14" s="1"/>
  <c r="F7" i="14"/>
  <c r="G7" i="14" s="1"/>
  <c r="C7" i="14"/>
  <c r="D7" i="14" s="1"/>
  <c r="O6" i="14"/>
  <c r="P6" i="14" s="1"/>
  <c r="L6" i="14"/>
  <c r="M6" i="14" s="1"/>
  <c r="I6" i="14"/>
  <c r="J6" i="14" s="1"/>
  <c r="F6" i="14"/>
  <c r="G6" i="14" s="1"/>
  <c r="C6" i="14"/>
  <c r="D6" i="14" s="1"/>
  <c r="O5" i="14"/>
  <c r="P5" i="14" s="1"/>
  <c r="L5" i="14"/>
  <c r="M5" i="14" s="1"/>
  <c r="I5" i="14"/>
  <c r="J5" i="14" s="1"/>
  <c r="F5" i="14"/>
  <c r="G5" i="14" s="1"/>
  <c r="C5" i="14"/>
  <c r="D5" i="14" s="1"/>
  <c r="O4" i="14"/>
  <c r="P4" i="14" s="1"/>
  <c r="N29" i="14"/>
  <c r="O29" i="14" s="1"/>
  <c r="P29" i="14" s="1"/>
  <c r="L4" i="14"/>
  <c r="M4" i="14" s="1"/>
  <c r="I4" i="14"/>
  <c r="J4" i="14" s="1"/>
  <c r="F4" i="14"/>
  <c r="G4" i="14" s="1"/>
  <c r="C4" i="14"/>
  <c r="D4" i="14" s="1"/>
  <c r="O3" i="14"/>
  <c r="P3" i="14" s="1"/>
  <c r="L3" i="14"/>
  <c r="M3" i="14" s="1"/>
  <c r="H29" i="14"/>
  <c r="I29" i="14" s="1"/>
  <c r="J29" i="14" s="1"/>
  <c r="F3" i="14"/>
  <c r="G3" i="14" s="1"/>
  <c r="U28" i="13"/>
  <c r="Q28" i="13"/>
  <c r="R27" i="13"/>
  <c r="S27" i="13"/>
  <c r="U27" i="13"/>
  <c r="Q27" i="13"/>
  <c r="H27" i="13"/>
  <c r="E27" i="13"/>
  <c r="B27" i="13"/>
  <c r="B29" i="14" l="1"/>
  <c r="C29" i="14" s="1"/>
  <c r="D29" i="14" s="1"/>
  <c r="L8" i="14"/>
  <c r="M8" i="14" s="1"/>
  <c r="F29" i="14"/>
  <c r="G29" i="14" s="1"/>
  <c r="I3" i="14"/>
  <c r="J3" i="14" s="1"/>
  <c r="U26" i="13"/>
  <c r="R26" i="13"/>
  <c r="Q26" i="13"/>
  <c r="N26" i="13"/>
  <c r="K26" i="13"/>
  <c r="H26" i="13"/>
  <c r="E26" i="13"/>
  <c r="B26" i="13"/>
  <c r="U25" i="13" l="1"/>
  <c r="R25" i="13"/>
  <c r="Q25" i="13"/>
  <c r="N25" i="13"/>
  <c r="H25" i="13"/>
  <c r="E25" i="13"/>
  <c r="B25" i="13"/>
  <c r="U24" i="13" l="1"/>
  <c r="R24" i="13"/>
  <c r="H24" i="13"/>
  <c r="E24" i="13"/>
  <c r="B24" i="13"/>
  <c r="U23" i="13" l="1"/>
  <c r="R23" i="13"/>
  <c r="N23" i="13"/>
  <c r="H23" i="13"/>
  <c r="E23" i="13"/>
  <c r="B23" i="13"/>
  <c r="U22" i="13"/>
  <c r="R22" i="13"/>
  <c r="Q22" i="13"/>
  <c r="E22" i="13"/>
  <c r="B22" i="13"/>
  <c r="U21" i="13"/>
  <c r="R21" i="13"/>
  <c r="Q21" i="13"/>
  <c r="N21" i="13"/>
  <c r="K21" i="13"/>
  <c r="H21" i="13"/>
  <c r="E21" i="13"/>
  <c r="B21" i="13"/>
  <c r="R20" i="13"/>
  <c r="E20" i="13"/>
  <c r="B20" i="13"/>
  <c r="U19" i="13" l="1"/>
  <c r="R19" i="13"/>
  <c r="N19" i="13"/>
  <c r="H19" i="13"/>
  <c r="E19" i="13"/>
  <c r="B19" i="13"/>
  <c r="U18" i="13"/>
  <c r="R18" i="13"/>
  <c r="Q18" i="13"/>
  <c r="N18" i="13"/>
  <c r="H18" i="13"/>
  <c r="E18" i="13"/>
  <c r="B18" i="13"/>
  <c r="U17" i="13" l="1"/>
  <c r="R17" i="13"/>
  <c r="N17" i="13"/>
  <c r="H17" i="13"/>
  <c r="E17" i="13"/>
  <c r="B17" i="13"/>
  <c r="U16" i="13"/>
  <c r="R16" i="13"/>
  <c r="Q16" i="13"/>
  <c r="N16" i="13"/>
  <c r="K16" i="13"/>
  <c r="H16" i="13"/>
  <c r="E16" i="13"/>
  <c r="B16" i="13"/>
  <c r="U15" i="13"/>
  <c r="R15" i="13"/>
  <c r="Q15" i="13"/>
  <c r="K15" i="13"/>
  <c r="H15" i="13"/>
  <c r="E15" i="13"/>
  <c r="B15" i="13"/>
  <c r="U14" i="13" l="1"/>
  <c r="R14" i="13"/>
  <c r="E14" i="13"/>
  <c r="B14" i="13"/>
  <c r="B13" i="13"/>
  <c r="U13" i="13"/>
  <c r="R13" i="13"/>
  <c r="N13" i="13"/>
  <c r="H13" i="13"/>
  <c r="E13" i="13"/>
  <c r="R12" i="13"/>
  <c r="Q12" i="13"/>
  <c r="H12" i="13"/>
  <c r="E12" i="13"/>
  <c r="B12" i="13"/>
  <c r="U8" i="13" l="1"/>
  <c r="U11" i="13" l="1"/>
  <c r="R11" i="13"/>
  <c r="H11" i="13"/>
  <c r="E11" i="13"/>
  <c r="B11" i="13"/>
  <c r="U10" i="13"/>
  <c r="R10" i="13"/>
  <c r="Q10" i="13"/>
  <c r="E10" i="13"/>
  <c r="B10" i="13"/>
  <c r="B9" i="13"/>
  <c r="U9" i="13"/>
  <c r="R9" i="13"/>
  <c r="Q9" i="13"/>
  <c r="K9" i="13"/>
  <c r="H9" i="13"/>
  <c r="E9" i="13"/>
  <c r="R8" i="13" l="1"/>
  <c r="Q8" i="13"/>
  <c r="K8" i="13"/>
  <c r="H8" i="13"/>
  <c r="E8" i="13"/>
  <c r="B8" i="13"/>
  <c r="Q7" i="13" l="1"/>
  <c r="U7" i="13"/>
  <c r="R7" i="13"/>
  <c r="H7" i="13"/>
  <c r="E7" i="13"/>
  <c r="B7" i="13"/>
  <c r="U6" i="13" l="1"/>
  <c r="R6" i="13"/>
  <c r="Q6" i="13"/>
  <c r="K6" i="13"/>
  <c r="H6" i="13"/>
  <c r="E6" i="13"/>
  <c r="B6" i="13"/>
  <c r="R5" i="13" l="1"/>
  <c r="U5" i="13"/>
  <c r="Q5" i="13"/>
  <c r="H5" i="13"/>
  <c r="E5" i="13"/>
  <c r="B5" i="13"/>
  <c r="U4" i="13"/>
  <c r="S4" i="13"/>
  <c r="R4" i="13"/>
  <c r="Q4" i="13"/>
  <c r="N4" i="13"/>
  <c r="K4" i="13"/>
  <c r="H4" i="13"/>
  <c r="E4" i="13"/>
  <c r="B4" i="13"/>
  <c r="Q3" i="13" l="1"/>
  <c r="R29" i="13" l="1"/>
  <c r="Q29" i="13"/>
  <c r="N29" i="13"/>
  <c r="L4" i="13"/>
  <c r="M4" i="13" s="1"/>
  <c r="H29" i="13"/>
  <c r="E29" i="13"/>
  <c r="H39" i="13" s="1"/>
  <c r="K39" i="13" s="1"/>
  <c r="S29" i="13"/>
  <c r="T29" i="13"/>
  <c r="H41" i="13" s="1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H42" i="13" l="1"/>
  <c r="H43" i="13" s="1"/>
  <c r="K43" i="13" s="1"/>
  <c r="K41" i="13"/>
  <c r="L41" i="13" s="1"/>
  <c r="H45" i="13"/>
  <c r="C4" i="13"/>
  <c r="D4" i="13" s="1"/>
  <c r="B29" i="13"/>
  <c r="H38" i="13" s="1"/>
  <c r="F4" i="13"/>
  <c r="G4" i="13" s="1"/>
  <c r="K29" i="13"/>
  <c r="I4" i="13"/>
  <c r="J4" i="13" s="1"/>
  <c r="F29" i="13"/>
  <c r="G29" i="13" s="1"/>
  <c r="I29" i="13"/>
  <c r="J29" i="13" s="1"/>
  <c r="O29" i="13"/>
  <c r="P29" i="13" s="1"/>
  <c r="K42" i="13" l="1"/>
  <c r="L42" i="13" s="1"/>
  <c r="K38" i="13"/>
  <c r="K40" i="13" s="1"/>
  <c r="H40" i="13"/>
  <c r="H44" i="13" s="1"/>
  <c r="H46" i="13" s="1"/>
  <c r="L29" i="13"/>
  <c r="M29" i="13" s="1"/>
  <c r="C29" i="13"/>
  <c r="D29" i="13" s="1"/>
</calcChain>
</file>

<file path=xl/comments1.xml><?xml version="1.0" encoding="utf-8"?>
<comments xmlns="http://schemas.openxmlformats.org/spreadsheetml/2006/main">
  <authors>
    <author>User</author>
  </authors>
  <commentList>
    <comment ref="R4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6500 fast
</t>
        </r>
      </text>
    </comment>
  </commentList>
</comments>
</file>

<file path=xl/sharedStrings.xml><?xml version="1.0" encoding="utf-8"?>
<sst xmlns="http://schemas.openxmlformats.org/spreadsheetml/2006/main" count="86" uniqueCount="58">
  <si>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</si>
  <si>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</si>
  <si>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</si>
  <si>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</si>
  <si>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</si>
  <si>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</si>
  <si>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</si>
  <si>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</si>
  <si>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</si>
  <si>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</si>
  <si>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</si>
  <si>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QR ÖDEME</t>
  </si>
  <si>
    <t>10.000 CARİ</t>
  </si>
  <si>
    <t>9955 CARİ</t>
  </si>
  <si>
    <t>10.535 CARİ</t>
  </si>
  <si>
    <t>750 CARİ</t>
  </si>
  <si>
    <t>5625 CARİ</t>
  </si>
  <si>
    <t>2900 CARİ</t>
  </si>
  <si>
    <t>8800 QR ÖDEME FT</t>
  </si>
  <si>
    <t>15.200 QR ÖDEME
25.575 CARİ</t>
  </si>
  <si>
    <t>GİB</t>
  </si>
  <si>
    <t>NEVİN LİSTE</t>
  </si>
  <si>
    <t>ÖKC</t>
  </si>
  <si>
    <t>KASA KAHVE</t>
  </si>
  <si>
    <t>TOPLAM</t>
  </si>
  <si>
    <t>toplam kdvli satış</t>
  </si>
  <si>
    <t>rest</t>
  </si>
  <si>
    <t>kasa</t>
  </si>
  <si>
    <t>toplam</t>
  </si>
  <si>
    <t>kdv</t>
  </si>
  <si>
    <t>toplam satış</t>
  </si>
  <si>
    <t>NKT</t>
  </si>
  <si>
    <t>tevkifatlı</t>
  </si>
  <si>
    <t>ökcli satış</t>
  </si>
  <si>
    <t>KK</t>
  </si>
  <si>
    <t>ftlı satış</t>
  </si>
  <si>
    <t>kasa kahve ftlı satış</t>
  </si>
  <si>
    <t>ÖDEME FARK</t>
  </si>
  <si>
    <t>FT</t>
  </si>
  <si>
    <t>fark</t>
  </si>
  <si>
    <t>YEMEK KARTI</t>
  </si>
  <si>
    <t>cari işlem</t>
  </si>
  <si>
    <t>HAVALE İADELER</t>
  </si>
  <si>
    <t>NET CARİ İŞLEM</t>
  </si>
  <si>
    <t>kk yemek faturası</t>
  </si>
  <si>
    <t>12.000  CARİ TAHSİLATTAN RAPORDAN FARKLI</t>
  </si>
  <si>
    <t xml:space="preserve">30800 CARİ
36.115 CARİ TAHSİLAT </t>
  </si>
  <si>
    <t>ÇAĞ ÇEVRE FATURASI</t>
  </si>
  <si>
    <t>39.000 devir fatura</t>
  </si>
  <si>
    <t>ft. Devri</t>
  </si>
  <si>
    <t>nkt+kk karışımı</t>
  </si>
  <si>
    <t>78.480 kk+12.120 nkt 2025 yılında işli</t>
  </si>
  <si>
    <t>11.500 tl ft kk fazla</t>
  </si>
  <si>
    <t>toplan ft</t>
  </si>
  <si>
    <t>şubata devir</t>
  </si>
  <si>
    <t>mail için yansıtma</t>
  </si>
  <si>
    <t>2540 nl z zaporu devir gedli</t>
  </si>
  <si>
    <t>537.200 CARİ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</si>
</sst>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1"/>
      <color rgb="FFFF000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0" fontId="0" fillId="0" borderId="8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9" xfId="0" applyNumberFormat="1" applyBorder="1"/>
    <xf numFmtId="0" fontId="0" fillId="0" borderId="0" xfId="0" applyAlignment="1">
      <alignment horizontal="center"/>
    </xf>
    <xf numFmtId="9" fontId="0" fillId="0" borderId="8" xfId="0" applyNumberFormat="1" applyBorder="1" applyAlignment="1">
      <alignment horizontal="center"/>
    </xf>
    <xf numFmtId="4" fontId="0" fillId="0" borderId="0" xfId="0" applyNumberFormat="1"/>
    <xf numFmtId="9" fontId="0" fillId="0" borderId="0" xfId="0" applyNumberFormat="1"/>
    <xf numFmtId="4" fontId="0" fillId="0" borderId="0" xfId="0" applyNumberFormat="1" applyAlignment="1">
      <alignment horizontal="center"/>
    </xf>
    <xf numFmtId="9" fontId="1" fillId="0" borderId="8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0" xfId="0" applyNumberFormat="1" applyFont="1"/>
    <xf numFmtId="4" fontId="1" fillId="0" borderId="9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9" fontId="1" fillId="3" borderId="8" xfId="0" applyNumberFormat="1" applyFont="1" applyFill="1" applyBorder="1" applyAlignment="1">
      <alignment horizontal="left"/>
    </xf>
    <xf numFmtId="4" fontId="1" fillId="3" borderId="0" xfId="0" applyNumberFormat="1" applyFont="1" applyFill="1" applyBorder="1"/>
    <xf numFmtId="0" fontId="0" fillId="3" borderId="9" xfId="0" applyFill="1" applyBorder="1"/>
    <xf numFmtId="0" fontId="0" fillId="3" borderId="8" xfId="0" applyFill="1" applyBorder="1" applyAlignment="1">
      <alignment horizontal="center"/>
    </xf>
    <xf numFmtId="4" fontId="0" fillId="3" borderId="0" xfId="0" applyNumberFormat="1" applyFill="1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0" xfId="0" applyBorder="1" applyAlignment="1">
      <alignment horizontal="center"/>
    </xf>
    <xf numFmtId="4" fontId="0" fillId="0" borderId="0" xfId="0" applyNumberFormat="1" applyFill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0" fontId="4" fillId="3" borderId="0" xfId="0" applyFont="1" applyFill="1"/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topLeftCell="A16" zoomScale="80" zoomScaleNormal="80" workbookViewId="0">
      <selection activeCell="R28" sqref="R28"/>
    </sheetView>
  </sheetViews>
  <sheetFormatPr defaultRowHeight="14.4" x14ac:dyDescent="0.3"/>
  <cols>
    <col min="1" max="1" width="12.109375" style="10" bestFit="1" customWidth="1"/>
    <col min="2" max="2" width="12.21875" style="3" bestFit="1" customWidth="1"/>
    <col min="3" max="3" width="11.5546875" style="3" bestFit="1" customWidth="1"/>
    <col min="4" max="4" width="11" style="3" bestFit="1" customWidth="1"/>
    <col min="5" max="5" width="15.109375" style="3" bestFit="1" customWidth="1"/>
    <col min="6" max="6" width="13.109375" style="3" bestFit="1" customWidth="1"/>
    <col min="7" max="7" width="12.109375" style="3" bestFit="1" customWidth="1"/>
    <col min="8" max="8" width="12.33203125" style="3" bestFit="1" customWidth="1"/>
    <col min="9" max="9" width="10" style="3" bestFit="1" customWidth="1"/>
    <col min="10" max="10" width="11.6640625" style="3" bestFit="1" customWidth="1"/>
    <col min="11" max="11" width="11.88671875" style="3" bestFit="1" customWidth="1"/>
    <col min="12" max="12" width="10" style="3" bestFit="1" customWidth="1"/>
    <col min="13" max="13" width="9" style="3" bestFit="1" customWidth="1"/>
    <col min="14" max="14" width="10.109375" style="3" bestFit="1" customWidth="1"/>
    <col min="15" max="15" width="10.33203125" style="3" customWidth="1"/>
    <col min="16" max="16" width="9" style="3" bestFit="1" customWidth="1"/>
    <col min="17" max="17" width="11.5546875" style="3" bestFit="1" customWidth="1"/>
    <col min="18" max="18" width="11.6640625" style="3" bestFit="1" customWidth="1"/>
    <col min="19" max="19" width="11.5546875" style="3" bestFit="1" customWidth="1"/>
    <col min="20" max="20" width="10" style="3" bestFit="1" customWidth="1"/>
    <col min="21" max="21" width="12.5546875" style="3" bestFit="1" customWidth="1"/>
    <col min="22" max="22" width="21.6640625" style="10" bestFit="1" customWidth="1"/>
    <col min="23" max="23" width="17.109375" style="3" bestFit="1" customWidth="1"/>
    <col min="24" max="16384" width="8.88671875" style="3"/>
  </cols>
  <sheetData>
    <row r="1" spans="1:22" x14ac:dyDescent="0.3">
      <c r="A1" s="15" t="s">
        <v>0</v>
      </c>
      <c r="B1" s="2" t="s">
        <v>1</v>
      </c>
      <c r="C1" s="2"/>
      <c r="D1" s="2"/>
      <c r="E1" s="2" t="s">
        <v>2</v>
      </c>
      <c r="F1" s="2"/>
      <c r="G1" s="2"/>
      <c r="H1" s="15" t="s">
        <v>3</v>
      </c>
      <c r="I1" s="2"/>
      <c r="J1" s="2"/>
      <c r="K1" s="15" t="s">
        <v>4</v>
      </c>
      <c r="L1" s="2"/>
      <c r="M1" s="2"/>
      <c r="N1" s="2" t="s">
        <v>5</v>
      </c>
      <c r="O1" s="2"/>
      <c r="P1" s="2"/>
      <c r="Q1" s="2" t="s">
        <v>6</v>
      </c>
      <c r="R1" s="2" t="s">
        <v>7</v>
      </c>
      <c r="S1" s="2" t="s">
        <v>11</v>
      </c>
      <c r="T1" s="57" t="s">
        <v>8</v>
      </c>
      <c r="U1" s="58"/>
      <c r="V1" s="15" t="s">
        <v>10</v>
      </c>
    </row>
    <row r="2" spans="1:22" x14ac:dyDescent="0.3">
      <c r="A2" s="4"/>
      <c r="B2" s="5">
        <v>0.1</v>
      </c>
      <c r="C2" s="5"/>
      <c r="D2" s="5"/>
      <c r="E2" s="5">
        <v>0.2</v>
      </c>
      <c r="F2" s="5"/>
      <c r="G2" s="5"/>
      <c r="H2" s="5">
        <v>0.1</v>
      </c>
      <c r="I2" s="5"/>
      <c r="J2" s="5"/>
      <c r="K2" s="5">
        <v>0.2</v>
      </c>
      <c r="L2" s="5"/>
      <c r="M2" s="5"/>
      <c r="N2" s="5">
        <v>0.2</v>
      </c>
      <c r="O2" s="5"/>
      <c r="P2" s="5"/>
      <c r="Q2" s="15"/>
      <c r="R2" s="15"/>
      <c r="S2" s="15"/>
      <c r="T2" s="15" t="s">
        <v>6</v>
      </c>
      <c r="U2" s="16" t="s">
        <v>9</v>
      </c>
      <c r="V2" s="4"/>
    </row>
    <row r="3" spans="1:22" ht="28.8" x14ac:dyDescent="0.3">
      <c r="A3" s="6">
        <v>46024</v>
      </c>
      <c r="B3" s="1">
        <f>29495+20522.78+5600+2100</f>
        <v>57717.78</v>
      </c>
      <c r="C3" s="7">
        <f t="shared" ref="C3:C27" si="0">B3/1.1</f>
        <v>52470.709090909084</v>
      </c>
      <c r="D3" s="7">
        <f t="shared" ref="D3:D27" si="1">C3*0.1</f>
        <v>5247.0709090909086</v>
      </c>
      <c r="E3" s="1">
        <f>5680+20138.41+2100</f>
        <v>27918.41</v>
      </c>
      <c r="F3" s="7">
        <f t="shared" ref="F3:F29" si="2">E3/1.2</f>
        <v>23265.341666666667</v>
      </c>
      <c r="G3" s="7">
        <f t="shared" ref="G3:G27" si="3">F3*0.2</f>
        <v>4653.0683333333336</v>
      </c>
      <c r="H3" s="1">
        <f>1935+323.81+40</f>
        <v>2298.81</v>
      </c>
      <c r="I3" s="7">
        <f t="shared" ref="I3:I29" si="4">H3/1.1</f>
        <v>2089.8272727272724</v>
      </c>
      <c r="J3" s="7">
        <f t="shared" ref="J3:J27" si="5">I3*0.1</f>
        <v>208.98272727272726</v>
      </c>
      <c r="K3" s="1">
        <v>5200</v>
      </c>
      <c r="L3" s="7">
        <f t="shared" ref="L3:L29" si="6">K3/1.2</f>
        <v>4333.3333333333339</v>
      </c>
      <c r="M3" s="7">
        <f t="shared" ref="M3:M27" si="7">L3*0.2</f>
        <v>866.66666666666686</v>
      </c>
      <c r="N3" s="1">
        <v>3911</v>
      </c>
      <c r="O3" s="7">
        <f t="shared" ref="O3:O29" si="8">N3/1.2</f>
        <v>3259.166666666667</v>
      </c>
      <c r="P3" s="7">
        <f t="shared" ref="P3:P27" si="9">O3*0.2</f>
        <v>651.83333333333348</v>
      </c>
      <c r="Q3" s="1">
        <f>5000</f>
        <v>5000</v>
      </c>
      <c r="R3" s="1">
        <f>46221+35985+7700+2140</f>
        <v>92046</v>
      </c>
      <c r="S3" s="7">
        <v>0</v>
      </c>
      <c r="T3" s="14">
        <f>12920</f>
        <v>12920</v>
      </c>
      <c r="U3" s="7">
        <f>69187.5+29665</f>
        <v>98852.5</v>
      </c>
      <c r="V3" s="56" t="s">
        <v>51</v>
      </c>
    </row>
    <row r="4" spans="1:22" x14ac:dyDescent="0.3">
      <c r="A4" s="6">
        <v>46025</v>
      </c>
      <c r="B4" s="1">
        <f>31806.87+62484.86+4100</f>
        <v>98391.73</v>
      </c>
      <c r="C4" s="7">
        <f t="shared" si="0"/>
        <v>89447.027272727268</v>
      </c>
      <c r="D4" s="7">
        <f t="shared" si="1"/>
        <v>8944.7027272727264</v>
      </c>
      <c r="E4" s="1">
        <f>12116.84+14042.64+4390</f>
        <v>30549.48</v>
      </c>
      <c r="F4" s="7">
        <f t="shared" si="2"/>
        <v>25457.9</v>
      </c>
      <c r="G4" s="7">
        <f t="shared" si="3"/>
        <v>5091.5800000000008</v>
      </c>
      <c r="H4" s="1">
        <f>621.29+1230</f>
        <v>1851.29</v>
      </c>
      <c r="I4" s="7">
        <f t="shared" si="4"/>
        <v>1682.9909090909089</v>
      </c>
      <c r="J4" s="7">
        <f t="shared" si="5"/>
        <v>168.29909090909089</v>
      </c>
      <c r="K4" s="1">
        <f>1800+5600+400</f>
        <v>7800</v>
      </c>
      <c r="L4" s="7">
        <f t="shared" si="6"/>
        <v>6500</v>
      </c>
      <c r="M4" s="7">
        <f t="shared" si="7"/>
        <v>1300</v>
      </c>
      <c r="N4" s="1">
        <f>2230+7157+646</f>
        <v>10033</v>
      </c>
      <c r="O4" s="7">
        <f t="shared" si="8"/>
        <v>8360.8333333333339</v>
      </c>
      <c r="P4" s="7">
        <f t="shared" si="9"/>
        <v>1672.166666666667</v>
      </c>
      <c r="Q4" s="7">
        <f>0</f>
        <v>0</v>
      </c>
      <c r="R4" s="1">
        <f>48575-19270+90514.5-6697.5-6500+9536</f>
        <v>116158</v>
      </c>
      <c r="S4" s="1">
        <f>19270+6697.5+6500</f>
        <v>32467.5</v>
      </c>
      <c r="T4" s="7"/>
      <c r="U4" s="8">
        <f>63961+6600+18000+26995+28600</f>
        <v>144156</v>
      </c>
      <c r="V4" s="17"/>
    </row>
    <row r="5" spans="1:22" x14ac:dyDescent="0.3">
      <c r="A5" s="6">
        <v>46026</v>
      </c>
      <c r="B5" s="1">
        <f>17283.93+47425</f>
        <v>64708.93</v>
      </c>
      <c r="C5" s="7">
        <f t="shared" si="0"/>
        <v>58826.299999999996</v>
      </c>
      <c r="D5" s="7">
        <f t="shared" si="1"/>
        <v>5882.63</v>
      </c>
      <c r="E5" s="1">
        <f>10895.65+4485</f>
        <v>15380.65</v>
      </c>
      <c r="F5" s="7">
        <f t="shared" si="2"/>
        <v>12817.208333333334</v>
      </c>
      <c r="G5" s="7">
        <f t="shared" si="3"/>
        <v>2563.4416666666671</v>
      </c>
      <c r="H5" s="1">
        <f>787.92+2865</f>
        <v>3652.92</v>
      </c>
      <c r="I5" s="7">
        <f t="shared" si="4"/>
        <v>3320.8363636363633</v>
      </c>
      <c r="J5" s="7">
        <f t="shared" si="5"/>
        <v>332.08363636363634</v>
      </c>
      <c r="K5" s="1">
        <v>2600</v>
      </c>
      <c r="L5" s="7">
        <f t="shared" si="6"/>
        <v>2166.666666666667</v>
      </c>
      <c r="M5" s="7">
        <f t="shared" si="7"/>
        <v>433.33333333333343</v>
      </c>
      <c r="N5" s="1">
        <v>2408</v>
      </c>
      <c r="O5" s="7">
        <f t="shared" si="8"/>
        <v>2006.6666666666667</v>
      </c>
      <c r="P5" s="7">
        <f t="shared" si="9"/>
        <v>401.33333333333337</v>
      </c>
      <c r="Q5" s="1">
        <f>1450</f>
        <v>1450</v>
      </c>
      <c r="R5" s="1">
        <f>28967.5+58333</f>
        <v>87300.5</v>
      </c>
      <c r="S5" s="7">
        <v>0</v>
      </c>
      <c r="T5" s="7"/>
      <c r="U5" s="8">
        <f>57200+23750</f>
        <v>80950</v>
      </c>
      <c r="V5" s="4"/>
    </row>
    <row r="6" spans="1:22" x14ac:dyDescent="0.3">
      <c r="A6" s="6">
        <v>45663</v>
      </c>
      <c r="B6" s="1">
        <f>6462.74+2872.01+31300</f>
        <v>40634.75</v>
      </c>
      <c r="C6" s="7">
        <f t="shared" si="0"/>
        <v>36940.681818181816</v>
      </c>
      <c r="D6" s="7">
        <f t="shared" si="1"/>
        <v>3694.068181818182</v>
      </c>
      <c r="E6" s="1">
        <f>2529.11+1583.35+3220</f>
        <v>7332.46</v>
      </c>
      <c r="F6" s="7">
        <f t="shared" si="2"/>
        <v>6110.3833333333332</v>
      </c>
      <c r="G6" s="7">
        <f t="shared" si="3"/>
        <v>1222.0766666666666</v>
      </c>
      <c r="H6" s="1">
        <f>148.15+344.64+850</f>
        <v>1342.79</v>
      </c>
      <c r="I6" s="7">
        <f t="shared" si="4"/>
        <v>1220.7181818181816</v>
      </c>
      <c r="J6" s="7">
        <f t="shared" si="5"/>
        <v>122.07181818181817</v>
      </c>
      <c r="K6" s="1">
        <f>2400</f>
        <v>2400</v>
      </c>
      <c r="L6" s="7">
        <f t="shared" si="6"/>
        <v>2000</v>
      </c>
      <c r="M6" s="7">
        <f t="shared" si="7"/>
        <v>400</v>
      </c>
      <c r="N6" s="1">
        <v>3780</v>
      </c>
      <c r="O6" s="7">
        <f t="shared" si="8"/>
        <v>3150</v>
      </c>
      <c r="P6" s="7">
        <f t="shared" si="9"/>
        <v>630</v>
      </c>
      <c r="Q6" s="7">
        <f>0</f>
        <v>0</v>
      </c>
      <c r="R6" s="1">
        <f>9140+4800+41550</f>
        <v>55490</v>
      </c>
      <c r="S6" s="7">
        <v>0</v>
      </c>
      <c r="T6" s="7">
        <v>0</v>
      </c>
      <c r="U6" s="8">
        <f>27850+136030</f>
        <v>163880</v>
      </c>
      <c r="V6" s="4"/>
    </row>
    <row r="7" spans="1:22" x14ac:dyDescent="0.3">
      <c r="A7" s="6">
        <v>45664</v>
      </c>
      <c r="B7" s="1">
        <f>11700+8832.66+10177.26+8911.51</f>
        <v>39621.43</v>
      </c>
      <c r="C7" s="7">
        <f t="shared" si="0"/>
        <v>36019.481818181819</v>
      </c>
      <c r="D7" s="7">
        <f t="shared" si="1"/>
        <v>3601.9481818181821</v>
      </c>
      <c r="E7" s="1">
        <f>2875+2488.39+4654.73+5188.49</f>
        <v>15206.609999999999</v>
      </c>
      <c r="F7" s="7">
        <f t="shared" si="2"/>
        <v>12672.174999999999</v>
      </c>
      <c r="G7" s="7">
        <f t="shared" si="3"/>
        <v>2534.4349999999999</v>
      </c>
      <c r="H7" s="1">
        <f>525+1148.95+168.01</f>
        <v>1841.96</v>
      </c>
      <c r="I7" s="7">
        <f t="shared" si="4"/>
        <v>1674.5090909090909</v>
      </c>
      <c r="J7" s="7">
        <f t="shared" si="5"/>
        <v>167.45090909090911</v>
      </c>
      <c r="K7" s="1">
        <v>1200</v>
      </c>
      <c r="L7" s="7">
        <f t="shared" si="6"/>
        <v>1000</v>
      </c>
      <c r="M7" s="7">
        <f t="shared" si="7"/>
        <v>200</v>
      </c>
      <c r="N7" s="1">
        <v>1130</v>
      </c>
      <c r="O7" s="7">
        <f t="shared" si="8"/>
        <v>941.66666666666674</v>
      </c>
      <c r="P7" s="7">
        <f t="shared" si="9"/>
        <v>188.33333333333337</v>
      </c>
      <c r="Q7" s="1">
        <f>4200+2000</f>
        <v>6200</v>
      </c>
      <c r="R7" s="1">
        <f>13230+10470+15000+14100</f>
        <v>52800</v>
      </c>
      <c r="S7" s="7">
        <v>0</v>
      </c>
      <c r="T7" s="7"/>
      <c r="U7" s="8">
        <f>24503.5+60810</f>
        <v>85313.5</v>
      </c>
      <c r="V7" s="4"/>
    </row>
    <row r="8" spans="1:22" x14ac:dyDescent="0.3">
      <c r="A8" s="6">
        <v>45665</v>
      </c>
      <c r="B8" s="1">
        <f>1567.32+4975+8881.17</f>
        <v>15423.49</v>
      </c>
      <c r="C8" s="7">
        <f t="shared" si="0"/>
        <v>14021.354545454544</v>
      </c>
      <c r="D8" s="7">
        <f t="shared" si="1"/>
        <v>1402.1354545454544</v>
      </c>
      <c r="E8" s="1">
        <f>1432.68+1150+12484.15</f>
        <v>15066.83</v>
      </c>
      <c r="F8" s="7">
        <f t="shared" si="2"/>
        <v>12555.691666666668</v>
      </c>
      <c r="G8" s="7">
        <f t="shared" si="3"/>
        <v>2511.1383333333338</v>
      </c>
      <c r="H8" s="1">
        <f>454.68</f>
        <v>454.68</v>
      </c>
      <c r="I8" s="7">
        <f t="shared" si="4"/>
        <v>413.34545454545452</v>
      </c>
      <c r="J8" s="7">
        <f t="shared" si="5"/>
        <v>41.334545454545456</v>
      </c>
      <c r="K8" s="1">
        <f>400</f>
        <v>400</v>
      </c>
      <c r="L8" s="7">
        <f t="shared" si="6"/>
        <v>333.33333333333337</v>
      </c>
      <c r="M8" s="7">
        <f t="shared" si="7"/>
        <v>66.666666666666671</v>
      </c>
      <c r="N8" s="1">
        <v>612.5</v>
      </c>
      <c r="O8" s="7">
        <f t="shared" si="8"/>
        <v>510.41666666666669</v>
      </c>
      <c r="P8" s="7">
        <f t="shared" si="9"/>
        <v>102.08333333333334</v>
      </c>
      <c r="Q8" s="1">
        <f>3000</f>
        <v>3000</v>
      </c>
      <c r="R8" s="1">
        <f>7137.5-7137.5+21820</f>
        <v>21820</v>
      </c>
      <c r="S8" s="1">
        <v>7137.5</v>
      </c>
      <c r="T8" s="7"/>
      <c r="U8" s="8">
        <f>57340+30500+50950</f>
        <v>138790</v>
      </c>
      <c r="V8" s="17"/>
    </row>
    <row r="9" spans="1:22" x14ac:dyDescent="0.3">
      <c r="A9" s="6">
        <v>45666</v>
      </c>
      <c r="B9" s="1">
        <f>11607.45+8224.67+5075+36300</f>
        <v>61207.12</v>
      </c>
      <c r="C9" s="7">
        <f t="shared" si="0"/>
        <v>55642.836363636365</v>
      </c>
      <c r="D9" s="7">
        <f t="shared" si="1"/>
        <v>5564.283636363637</v>
      </c>
      <c r="E9" s="1">
        <f>9062.55+7345.73+8745+8080</f>
        <v>33233.279999999999</v>
      </c>
      <c r="F9" s="7">
        <f t="shared" si="2"/>
        <v>27694.400000000001</v>
      </c>
      <c r="G9" s="7">
        <f t="shared" si="3"/>
        <v>5538.880000000001</v>
      </c>
      <c r="H9" s="1">
        <f>229.6+220+2850</f>
        <v>3299.6</v>
      </c>
      <c r="I9" s="7">
        <f t="shared" si="4"/>
        <v>2999.6363636363635</v>
      </c>
      <c r="J9" s="7">
        <f t="shared" si="5"/>
        <v>299.96363636363634</v>
      </c>
      <c r="K9" s="7">
        <f>0</f>
        <v>0</v>
      </c>
      <c r="L9" s="7">
        <f t="shared" si="6"/>
        <v>0</v>
      </c>
      <c r="M9" s="7">
        <f t="shared" si="7"/>
        <v>0</v>
      </c>
      <c r="N9" s="1">
        <v>3997</v>
      </c>
      <c r="O9" s="7">
        <f t="shared" si="8"/>
        <v>3330.8333333333335</v>
      </c>
      <c r="P9" s="7">
        <f t="shared" si="9"/>
        <v>666.16666666666674</v>
      </c>
      <c r="Q9" s="1">
        <f>5000</f>
        <v>5000</v>
      </c>
      <c r="R9" s="1">
        <f>20670+15800+9040+51227-7260</f>
        <v>89477</v>
      </c>
      <c r="S9" s="1">
        <v>7260</v>
      </c>
      <c r="T9" s="7"/>
      <c r="U9" s="8">
        <f>30000+26960+18000+89437</f>
        <v>164397</v>
      </c>
      <c r="V9" s="4"/>
    </row>
    <row r="10" spans="1:22" x14ac:dyDescent="0.3">
      <c r="A10" s="6">
        <v>45667</v>
      </c>
      <c r="B10" s="1">
        <f>84820+8222.75</f>
        <v>93042.75</v>
      </c>
      <c r="C10" s="7">
        <f t="shared" si="0"/>
        <v>84584.318181818177</v>
      </c>
      <c r="D10" s="7">
        <f t="shared" si="1"/>
        <v>8458.431818181818</v>
      </c>
      <c r="E10" s="1">
        <f>21000+4577.25</f>
        <v>25577.25</v>
      </c>
      <c r="F10" s="7">
        <f t="shared" si="2"/>
        <v>21314.375</v>
      </c>
      <c r="G10" s="7">
        <f t="shared" si="3"/>
        <v>4262.875</v>
      </c>
      <c r="H10" s="1">
        <v>4860</v>
      </c>
      <c r="I10" s="7">
        <f t="shared" si="4"/>
        <v>4418.181818181818</v>
      </c>
      <c r="J10" s="7">
        <f t="shared" si="5"/>
        <v>441.81818181818181</v>
      </c>
      <c r="K10" s="7">
        <v>0</v>
      </c>
      <c r="L10" s="7">
        <f t="shared" si="6"/>
        <v>0</v>
      </c>
      <c r="M10" s="7">
        <f t="shared" si="7"/>
        <v>0</v>
      </c>
      <c r="N10" s="1">
        <v>10168</v>
      </c>
      <c r="O10" s="7">
        <f t="shared" si="8"/>
        <v>8473.3333333333339</v>
      </c>
      <c r="P10" s="7">
        <f t="shared" si="9"/>
        <v>1694.666666666667</v>
      </c>
      <c r="Q10" s="1">
        <f>1725</f>
        <v>1725</v>
      </c>
      <c r="R10" s="1">
        <f>120848+11075</f>
        <v>131923</v>
      </c>
      <c r="S10" s="7">
        <v>0</v>
      </c>
      <c r="T10" s="7">
        <v>0</v>
      </c>
      <c r="U10" s="8">
        <f>84223.5+40000+13400+96266</f>
        <v>233889.5</v>
      </c>
      <c r="V10" s="18" t="s">
        <v>13</v>
      </c>
    </row>
    <row r="11" spans="1:22" ht="13.8" customHeight="1" x14ac:dyDescent="0.3">
      <c r="A11" s="6">
        <v>45668</v>
      </c>
      <c r="B11" s="1">
        <f>26550.38+4921.27+40445</f>
        <v>71916.649999999994</v>
      </c>
      <c r="C11" s="7">
        <f t="shared" si="0"/>
        <v>65378.772727272713</v>
      </c>
      <c r="D11" s="7">
        <f t="shared" si="1"/>
        <v>6537.8772727272717</v>
      </c>
      <c r="E11" s="1">
        <f>10305.49+1678.73+2600</f>
        <v>14584.22</v>
      </c>
      <c r="F11" s="7">
        <f t="shared" si="2"/>
        <v>12153.516666666666</v>
      </c>
      <c r="G11" s="7">
        <f t="shared" si="3"/>
        <v>2430.7033333333334</v>
      </c>
      <c r="H11" s="1">
        <f>549.13+1350</f>
        <v>1899.13</v>
      </c>
      <c r="I11" s="7">
        <f t="shared" si="4"/>
        <v>1726.4818181818182</v>
      </c>
      <c r="J11" s="7">
        <f t="shared" si="5"/>
        <v>172.64818181818183</v>
      </c>
      <c r="K11" s="7">
        <v>0</v>
      </c>
      <c r="L11" s="7">
        <f t="shared" si="6"/>
        <v>0</v>
      </c>
      <c r="M11" s="7">
        <f t="shared" si="7"/>
        <v>0</v>
      </c>
      <c r="N11" s="1">
        <v>1175</v>
      </c>
      <c r="O11" s="7">
        <f t="shared" si="8"/>
        <v>979.16666666666674</v>
      </c>
      <c r="P11" s="7">
        <f t="shared" si="9"/>
        <v>195.83333333333337</v>
      </c>
      <c r="Q11" s="1">
        <v>4925</v>
      </c>
      <c r="R11" s="1">
        <f>37405-4790+6600+40645</f>
        <v>79860</v>
      </c>
      <c r="S11" s="1">
        <v>4790</v>
      </c>
      <c r="T11" s="7">
        <v>0</v>
      </c>
      <c r="U11" s="8">
        <f>23440+14490+52354.5</f>
        <v>90284.5</v>
      </c>
      <c r="V11" s="4"/>
    </row>
    <row r="12" spans="1:22" x14ac:dyDescent="0.3">
      <c r="A12" s="6">
        <v>46035</v>
      </c>
      <c r="B12" s="1">
        <f>16161.41+3963.7+37275</f>
        <v>57400.11</v>
      </c>
      <c r="C12" s="7">
        <f t="shared" si="0"/>
        <v>52181.918181818175</v>
      </c>
      <c r="D12" s="7">
        <f t="shared" si="1"/>
        <v>5218.1918181818182</v>
      </c>
      <c r="E12" s="1">
        <f>15540+14941.3+7340</f>
        <v>37821.300000000003</v>
      </c>
      <c r="F12" s="7">
        <f t="shared" si="2"/>
        <v>31517.750000000004</v>
      </c>
      <c r="G12" s="7">
        <f t="shared" si="3"/>
        <v>6303.5500000000011</v>
      </c>
      <c r="H12" s="1">
        <f>628.59+115+980</f>
        <v>1723.5900000000001</v>
      </c>
      <c r="I12" s="7">
        <f t="shared" si="4"/>
        <v>1566.9</v>
      </c>
      <c r="J12" s="7">
        <f t="shared" si="5"/>
        <v>156.69000000000003</v>
      </c>
      <c r="K12" s="7">
        <v>0</v>
      </c>
      <c r="L12" s="7">
        <f t="shared" si="6"/>
        <v>0</v>
      </c>
      <c r="M12" s="7">
        <f t="shared" si="7"/>
        <v>0</v>
      </c>
      <c r="N12" s="1">
        <v>4559.5</v>
      </c>
      <c r="O12" s="7">
        <f t="shared" si="8"/>
        <v>3799.5833333333335</v>
      </c>
      <c r="P12" s="7">
        <f t="shared" si="9"/>
        <v>759.91666666666674</v>
      </c>
      <c r="Q12" s="1">
        <f>2800</f>
        <v>2800</v>
      </c>
      <c r="R12" s="1">
        <f>32330+16220+50154.5-1402.5</f>
        <v>97302</v>
      </c>
      <c r="S12" s="1">
        <v>1402.5</v>
      </c>
      <c r="T12" s="7">
        <v>0</v>
      </c>
      <c r="U12" s="8">
        <v>62750</v>
      </c>
      <c r="V12" s="4"/>
    </row>
    <row r="13" spans="1:22" x14ac:dyDescent="0.3">
      <c r="A13" s="6">
        <v>46036</v>
      </c>
      <c r="B13" s="1">
        <f>5332.69+4295.52+52795+7196.78</f>
        <v>69619.990000000005</v>
      </c>
      <c r="C13" s="7">
        <f t="shared" si="0"/>
        <v>63290.9</v>
      </c>
      <c r="D13" s="7">
        <f t="shared" si="1"/>
        <v>6329.09</v>
      </c>
      <c r="E13" s="1">
        <f>2367.31+5304.48+13775+15688.22</f>
        <v>37135.01</v>
      </c>
      <c r="F13" s="7">
        <f t="shared" si="2"/>
        <v>30945.841666666671</v>
      </c>
      <c r="G13" s="7">
        <f t="shared" si="3"/>
        <v>6189.1683333333349</v>
      </c>
      <c r="H13" s="1">
        <f>940+115</f>
        <v>1055</v>
      </c>
      <c r="I13" s="7">
        <f t="shared" si="4"/>
        <v>959.09090909090901</v>
      </c>
      <c r="J13" s="7">
        <f t="shared" si="5"/>
        <v>95.909090909090907</v>
      </c>
      <c r="K13" s="7">
        <v>0</v>
      </c>
      <c r="L13" s="7">
        <f t="shared" si="6"/>
        <v>0</v>
      </c>
      <c r="M13" s="7">
        <f t="shared" si="7"/>
        <v>0</v>
      </c>
      <c r="N13" s="1">
        <f>6157</f>
        <v>6157</v>
      </c>
      <c r="O13" s="7">
        <f t="shared" si="8"/>
        <v>5130.8333333333339</v>
      </c>
      <c r="P13" s="7">
        <f t="shared" si="9"/>
        <v>1026.1666666666667</v>
      </c>
      <c r="Q13" s="1">
        <v>5940</v>
      </c>
      <c r="R13" s="1">
        <f>7700+9600+67727+23000</f>
        <v>108027</v>
      </c>
      <c r="S13" s="7">
        <v>0</v>
      </c>
      <c r="T13" s="7">
        <v>0</v>
      </c>
      <c r="U13" s="8">
        <f>58865+15375+21700</f>
        <v>95940</v>
      </c>
      <c r="V13" s="18" t="s">
        <v>12</v>
      </c>
    </row>
    <row r="14" spans="1:22" x14ac:dyDescent="0.3">
      <c r="A14" s="6">
        <v>46037</v>
      </c>
      <c r="B14" s="1">
        <f>25350+7092.03</f>
        <v>32442.03</v>
      </c>
      <c r="C14" s="7">
        <f t="shared" si="0"/>
        <v>29492.754545454543</v>
      </c>
      <c r="D14" s="7">
        <f t="shared" si="1"/>
        <v>2949.2754545454545</v>
      </c>
      <c r="E14" s="1">
        <f>6485+4482.97</f>
        <v>10967.970000000001</v>
      </c>
      <c r="F14" s="7">
        <f t="shared" si="2"/>
        <v>9139.9750000000022</v>
      </c>
      <c r="G14" s="7">
        <f t="shared" si="3"/>
        <v>1827.9950000000006</v>
      </c>
      <c r="H14" s="1">
        <v>525</v>
      </c>
      <c r="I14" s="7">
        <f t="shared" si="4"/>
        <v>477.27272727272725</v>
      </c>
      <c r="J14" s="7">
        <f t="shared" si="5"/>
        <v>47.727272727272727</v>
      </c>
      <c r="K14" s="7">
        <v>0</v>
      </c>
      <c r="L14" s="7">
        <f t="shared" si="6"/>
        <v>0</v>
      </c>
      <c r="M14" s="7">
        <f t="shared" si="7"/>
        <v>0</v>
      </c>
      <c r="N14" s="1">
        <v>3236</v>
      </c>
      <c r="O14" s="7">
        <f t="shared" si="8"/>
        <v>2696.666666666667</v>
      </c>
      <c r="P14" s="7">
        <f t="shared" si="9"/>
        <v>539.33333333333337</v>
      </c>
      <c r="Q14" s="7">
        <v>0</v>
      </c>
      <c r="R14" s="1">
        <f>35596-5192+11575</f>
        <v>41979</v>
      </c>
      <c r="S14" s="1">
        <v>5192</v>
      </c>
      <c r="T14" s="7">
        <v>9200</v>
      </c>
      <c r="U14" s="8">
        <f>32700+17500</f>
        <v>50200</v>
      </c>
      <c r="V14" s="4"/>
    </row>
    <row r="15" spans="1:22" x14ac:dyDescent="0.3">
      <c r="A15" s="6">
        <v>46038</v>
      </c>
      <c r="B15" s="1">
        <f>30174.33+66540+3950+1418.66</f>
        <v>102082.99</v>
      </c>
      <c r="C15" s="7">
        <f t="shared" si="0"/>
        <v>92802.718181818185</v>
      </c>
      <c r="D15" s="7">
        <f t="shared" si="1"/>
        <v>9280.2718181818182</v>
      </c>
      <c r="E15" s="1">
        <f>17838.77+21240+2750+4181.34</f>
        <v>46010.11</v>
      </c>
      <c r="F15" s="7">
        <f t="shared" si="2"/>
        <v>38341.758333333339</v>
      </c>
      <c r="G15" s="7">
        <f t="shared" si="3"/>
        <v>7668.3516666666683</v>
      </c>
      <c r="H15" s="1">
        <f>1256.9+3025+250</f>
        <v>4531.8999999999996</v>
      </c>
      <c r="I15" s="7">
        <f t="shared" si="4"/>
        <v>4119.9090909090901</v>
      </c>
      <c r="J15" s="7">
        <f t="shared" si="5"/>
        <v>411.99090909090904</v>
      </c>
      <c r="K15" s="1">
        <f>500</f>
        <v>500</v>
      </c>
      <c r="L15" s="7">
        <f t="shared" si="6"/>
        <v>416.66666666666669</v>
      </c>
      <c r="M15" s="7">
        <f t="shared" si="7"/>
        <v>83.333333333333343</v>
      </c>
      <c r="N15" s="1">
        <v>9130.5</v>
      </c>
      <c r="O15" s="7">
        <f t="shared" si="8"/>
        <v>7608.75</v>
      </c>
      <c r="P15" s="7">
        <f t="shared" si="9"/>
        <v>1521.75</v>
      </c>
      <c r="Q15" s="1">
        <f>13670</f>
        <v>13670</v>
      </c>
      <c r="R15" s="1">
        <f>35600+100435.5-9405+6950+5600</f>
        <v>139180.5</v>
      </c>
      <c r="S15" s="1">
        <v>9405</v>
      </c>
      <c r="T15" s="7"/>
      <c r="U15" s="8">
        <f>43900+3500+28545+41500</f>
        <v>117445</v>
      </c>
      <c r="V15" s="18" t="s">
        <v>14</v>
      </c>
    </row>
    <row r="16" spans="1:22" x14ac:dyDescent="0.3">
      <c r="A16" s="6">
        <v>46039</v>
      </c>
      <c r="B16" s="1">
        <f>31293.62+3275+62795</f>
        <v>97363.62</v>
      </c>
      <c r="C16" s="7">
        <f t="shared" si="0"/>
        <v>88512.381818181806</v>
      </c>
      <c r="D16" s="7">
        <f t="shared" si="1"/>
        <v>8851.2381818181802</v>
      </c>
      <c r="E16" s="1">
        <f>27547.18+4395+15490</f>
        <v>47432.18</v>
      </c>
      <c r="F16" s="7">
        <f t="shared" si="2"/>
        <v>39526.816666666666</v>
      </c>
      <c r="G16" s="7">
        <f t="shared" si="3"/>
        <v>7905.3633333333337</v>
      </c>
      <c r="H16" s="1">
        <f>824.2+2075</f>
        <v>2899.2</v>
      </c>
      <c r="I16" s="7">
        <f t="shared" si="4"/>
        <v>2635.6363636363631</v>
      </c>
      <c r="J16" s="7">
        <f t="shared" si="5"/>
        <v>263.56363636363631</v>
      </c>
      <c r="K16" s="7">
        <f>0</f>
        <v>0</v>
      </c>
      <c r="L16" s="7">
        <f t="shared" si="6"/>
        <v>0</v>
      </c>
      <c r="M16" s="7">
        <f t="shared" si="7"/>
        <v>0</v>
      </c>
      <c r="N16" s="1">
        <f>1495.5+8036</f>
        <v>9531.5</v>
      </c>
      <c r="O16" s="7">
        <f t="shared" si="8"/>
        <v>7942.916666666667</v>
      </c>
      <c r="P16" s="7">
        <f t="shared" si="9"/>
        <v>1588.5833333333335</v>
      </c>
      <c r="Q16" s="7">
        <f>0</f>
        <v>0</v>
      </c>
      <c r="R16" s="1">
        <f>61160.5+7670+88396-5032.5</f>
        <v>152194</v>
      </c>
      <c r="S16" s="1">
        <v>5032.5</v>
      </c>
      <c r="T16" s="14">
        <v>0</v>
      </c>
      <c r="U16" s="7">
        <f>64950+10600+43142+41500</f>
        <v>160192</v>
      </c>
      <c r="V16" s="4"/>
    </row>
    <row r="17" spans="1:25" x14ac:dyDescent="0.3">
      <c r="A17" s="6">
        <v>46040</v>
      </c>
      <c r="B17" s="1">
        <f>23825+28344.04</f>
        <v>52169.04</v>
      </c>
      <c r="C17" s="7">
        <f t="shared" si="0"/>
        <v>47426.399999999994</v>
      </c>
      <c r="D17" s="7">
        <f t="shared" si="1"/>
        <v>4742.6399999999994</v>
      </c>
      <c r="E17" s="1">
        <f>10125+14066.64</f>
        <v>24191.64</v>
      </c>
      <c r="F17" s="7">
        <f t="shared" si="2"/>
        <v>20159.7</v>
      </c>
      <c r="G17" s="7">
        <f t="shared" si="3"/>
        <v>4031.9400000000005</v>
      </c>
      <c r="H17" s="1">
        <f>1725+1279.32</f>
        <v>3004.3199999999997</v>
      </c>
      <c r="I17" s="7">
        <f t="shared" si="4"/>
        <v>2731.1999999999994</v>
      </c>
      <c r="J17" s="7">
        <f t="shared" si="5"/>
        <v>273.11999999999995</v>
      </c>
      <c r="K17" s="7">
        <v>0</v>
      </c>
      <c r="L17" s="7">
        <f t="shared" si="6"/>
        <v>0</v>
      </c>
      <c r="M17" s="7">
        <f t="shared" si="7"/>
        <v>0</v>
      </c>
      <c r="N17" s="1">
        <f>3487.5+500</f>
        <v>3987.5</v>
      </c>
      <c r="O17" s="7">
        <f t="shared" si="8"/>
        <v>3322.916666666667</v>
      </c>
      <c r="P17" s="7">
        <f t="shared" si="9"/>
        <v>664.58333333333348</v>
      </c>
      <c r="Q17" s="1">
        <v>800</v>
      </c>
      <c r="R17" s="1">
        <f>38362.5+44190-2000</f>
        <v>80552.5</v>
      </c>
      <c r="S17" s="1">
        <v>2000</v>
      </c>
      <c r="T17" s="7">
        <v>0</v>
      </c>
      <c r="U17" s="8">
        <f>16142.5+35350</f>
        <v>51492.5</v>
      </c>
      <c r="V17" s="18" t="s">
        <v>15</v>
      </c>
    </row>
    <row r="18" spans="1:25" x14ac:dyDescent="0.3">
      <c r="A18" s="6">
        <v>46042</v>
      </c>
      <c r="B18" s="1">
        <f>7700+17100+16200+30264.46</f>
        <v>71264.459999999992</v>
      </c>
      <c r="C18" s="7">
        <f t="shared" si="0"/>
        <v>64785.872727272712</v>
      </c>
      <c r="D18" s="7">
        <f t="shared" si="1"/>
        <v>6478.5872727272717</v>
      </c>
      <c r="E18" s="1">
        <f>4755+2190+5820+15862.23</f>
        <v>28627.23</v>
      </c>
      <c r="F18" s="7">
        <f t="shared" si="2"/>
        <v>23856.025000000001</v>
      </c>
      <c r="G18" s="7">
        <f t="shared" si="3"/>
        <v>4771.2050000000008</v>
      </c>
      <c r="H18" s="1">
        <f>725+2083.31</f>
        <v>2808.31</v>
      </c>
      <c r="I18" s="7">
        <f t="shared" si="4"/>
        <v>2553.0090909090904</v>
      </c>
      <c r="J18" s="7">
        <f t="shared" si="5"/>
        <v>255.30090909090904</v>
      </c>
      <c r="K18" s="7">
        <v>0</v>
      </c>
      <c r="L18" s="7">
        <f t="shared" si="6"/>
        <v>0</v>
      </c>
      <c r="M18" s="7">
        <f t="shared" si="7"/>
        <v>0</v>
      </c>
      <c r="N18" s="1">
        <f>1545+1929+2274.5+500</f>
        <v>6248.5</v>
      </c>
      <c r="O18" s="7">
        <f t="shared" si="8"/>
        <v>5207.0833333333339</v>
      </c>
      <c r="P18" s="7">
        <f t="shared" si="9"/>
        <v>1041.4166666666667</v>
      </c>
      <c r="Q18" s="7">
        <f>0</f>
        <v>0</v>
      </c>
      <c r="R18" s="1">
        <f>14000+21219+25019.5+48710</f>
        <v>108948.5</v>
      </c>
      <c r="S18" s="7">
        <v>0</v>
      </c>
      <c r="T18" s="7">
        <v>4400</v>
      </c>
      <c r="U18" s="8">
        <f>34350+34640</f>
        <v>68990</v>
      </c>
      <c r="V18" s="4"/>
    </row>
    <row r="19" spans="1:25" x14ac:dyDescent="0.3">
      <c r="A19" s="6">
        <v>46043</v>
      </c>
      <c r="B19" s="1">
        <f>21427.19+6135+10850+3782.51</f>
        <v>42194.700000000004</v>
      </c>
      <c r="C19" s="7">
        <f t="shared" si="0"/>
        <v>38358.818181818184</v>
      </c>
      <c r="D19" s="7">
        <f t="shared" si="1"/>
        <v>3835.8818181818187</v>
      </c>
      <c r="E19" s="1">
        <f>16108.24+3590+3900+3807.49</f>
        <v>27405.729999999996</v>
      </c>
      <c r="F19" s="7">
        <f t="shared" si="2"/>
        <v>22838.10833333333</v>
      </c>
      <c r="G19" s="7">
        <f t="shared" si="3"/>
        <v>4567.621666666666</v>
      </c>
      <c r="H19" s="1">
        <f>849.57+675</f>
        <v>1524.5700000000002</v>
      </c>
      <c r="I19" s="7">
        <f t="shared" si="4"/>
        <v>1385.9727272727273</v>
      </c>
      <c r="J19" s="7">
        <f t="shared" si="5"/>
        <v>138.59727272727272</v>
      </c>
      <c r="K19" s="7">
        <v>0</v>
      </c>
      <c r="L19" s="7">
        <f t="shared" si="6"/>
        <v>0</v>
      </c>
      <c r="M19" s="7">
        <f t="shared" si="7"/>
        <v>0</v>
      </c>
      <c r="N19" s="1">
        <f>1542.5+410</f>
        <v>1952.5</v>
      </c>
      <c r="O19" s="7">
        <f t="shared" si="8"/>
        <v>1627.0833333333335</v>
      </c>
      <c r="P19" s="7">
        <f t="shared" si="9"/>
        <v>325.41666666666674</v>
      </c>
      <c r="Q19" s="1">
        <v>3890</v>
      </c>
      <c r="R19" s="1">
        <f>38385+5835+16967.5-1750+8000</f>
        <v>67437.5</v>
      </c>
      <c r="S19" s="1">
        <v>1750</v>
      </c>
      <c r="T19" s="7">
        <v>0</v>
      </c>
      <c r="U19" s="8">
        <f>47000+42957.5+13260</f>
        <v>103217.5</v>
      </c>
      <c r="V19" s="4"/>
    </row>
    <row r="20" spans="1:25" x14ac:dyDescent="0.3">
      <c r="A20" s="6">
        <v>46044</v>
      </c>
      <c r="B20" s="1">
        <f>23850+33867.44</f>
        <v>57717.440000000002</v>
      </c>
      <c r="C20" s="7">
        <f t="shared" si="0"/>
        <v>52470.400000000001</v>
      </c>
      <c r="D20" s="7">
        <f t="shared" si="1"/>
        <v>5247.0400000000009</v>
      </c>
      <c r="E20" s="1">
        <f>6980+14456.79</f>
        <v>21436.79</v>
      </c>
      <c r="F20" s="7">
        <f t="shared" si="2"/>
        <v>17863.991666666669</v>
      </c>
      <c r="G20" s="7">
        <f t="shared" si="3"/>
        <v>3572.7983333333341</v>
      </c>
      <c r="H20" s="1">
        <v>2080.77</v>
      </c>
      <c r="I20" s="7">
        <f t="shared" si="4"/>
        <v>1891.6090909090908</v>
      </c>
      <c r="J20" s="7">
        <f t="shared" si="5"/>
        <v>189.16090909090909</v>
      </c>
      <c r="K20" s="7">
        <v>0</v>
      </c>
      <c r="L20" s="7">
        <f t="shared" si="6"/>
        <v>0</v>
      </c>
      <c r="M20" s="7">
        <f t="shared" si="7"/>
        <v>0</v>
      </c>
      <c r="N20" s="1">
        <v>3083</v>
      </c>
      <c r="O20" s="7">
        <f t="shared" si="8"/>
        <v>2569.166666666667</v>
      </c>
      <c r="P20" s="7">
        <f t="shared" si="9"/>
        <v>513.83333333333337</v>
      </c>
      <c r="Q20" s="7">
        <v>0</v>
      </c>
      <c r="R20" s="1">
        <f>33913+50405-7780</f>
        <v>76538</v>
      </c>
      <c r="S20" s="1">
        <v>7780</v>
      </c>
      <c r="T20" s="7">
        <v>0</v>
      </c>
      <c r="U20" s="8">
        <v>14095</v>
      </c>
      <c r="V20" s="4"/>
    </row>
    <row r="21" spans="1:25" x14ac:dyDescent="0.3">
      <c r="A21" s="6">
        <v>46045</v>
      </c>
      <c r="B21" s="1">
        <f>20355.35+9235+7225+14156+1832.79</f>
        <v>52804.14</v>
      </c>
      <c r="C21" s="7">
        <f t="shared" si="0"/>
        <v>48003.763636363634</v>
      </c>
      <c r="D21" s="7">
        <f t="shared" si="1"/>
        <v>4800.3763636363637</v>
      </c>
      <c r="E21" s="1">
        <f>7029.65+6255+6000+11464.29+5667.21</f>
        <v>36416.15</v>
      </c>
      <c r="F21" s="7">
        <f t="shared" si="2"/>
        <v>30346.791666666668</v>
      </c>
      <c r="G21" s="7">
        <f t="shared" si="3"/>
        <v>6069.3583333333336</v>
      </c>
      <c r="H21" s="1">
        <f>110+329.71</f>
        <v>439.71</v>
      </c>
      <c r="I21" s="7">
        <f t="shared" si="4"/>
        <v>399.73636363636359</v>
      </c>
      <c r="J21" s="7">
        <f t="shared" si="5"/>
        <v>39.973636363636359</v>
      </c>
      <c r="K21" s="7">
        <f>0</f>
        <v>0</v>
      </c>
      <c r="L21" s="7">
        <f t="shared" si="6"/>
        <v>0</v>
      </c>
      <c r="M21" s="7">
        <f t="shared" si="7"/>
        <v>0</v>
      </c>
      <c r="N21" s="1">
        <f>2438.5+1663.5+722.5</f>
        <v>4824.5</v>
      </c>
      <c r="O21" s="7">
        <f t="shared" si="8"/>
        <v>4020.416666666667</v>
      </c>
      <c r="P21" s="7">
        <f t="shared" si="9"/>
        <v>804.08333333333348</v>
      </c>
      <c r="Q21" s="7">
        <f>0</f>
        <v>0</v>
      </c>
      <c r="R21" s="1">
        <f>29823.5+17263.5+13947.5+25950+7500</f>
        <v>94484.5</v>
      </c>
      <c r="S21" s="7">
        <v>0</v>
      </c>
      <c r="T21" s="7">
        <v>0</v>
      </c>
      <c r="U21" s="8">
        <f>12155+8167.5+57600.04</f>
        <v>77922.540000000008</v>
      </c>
      <c r="V21" s="18" t="s">
        <v>16</v>
      </c>
    </row>
    <row r="22" spans="1:25" x14ac:dyDescent="0.3">
      <c r="A22" s="6">
        <v>46046</v>
      </c>
      <c r="B22" s="1">
        <f>4793+57530</f>
        <v>62323</v>
      </c>
      <c r="C22" s="7">
        <f t="shared" si="0"/>
        <v>56657.272727272721</v>
      </c>
      <c r="D22" s="7">
        <f t="shared" si="1"/>
        <v>5665.7272727272721</v>
      </c>
      <c r="E22" s="1">
        <f>14207+19870</f>
        <v>34077</v>
      </c>
      <c r="F22" s="7">
        <f t="shared" si="2"/>
        <v>28397.5</v>
      </c>
      <c r="G22" s="7">
        <f t="shared" si="3"/>
        <v>5679.5</v>
      </c>
      <c r="H22" s="1">
        <v>4575</v>
      </c>
      <c r="I22" s="7">
        <f t="shared" si="4"/>
        <v>4159.090909090909</v>
      </c>
      <c r="J22" s="7">
        <f t="shared" si="5"/>
        <v>415.90909090909093</v>
      </c>
      <c r="K22" s="7">
        <v>0</v>
      </c>
      <c r="L22" s="7">
        <f t="shared" si="6"/>
        <v>0</v>
      </c>
      <c r="M22" s="7">
        <f t="shared" si="7"/>
        <v>0</v>
      </c>
      <c r="N22" s="1">
        <v>7734.5</v>
      </c>
      <c r="O22" s="7">
        <f t="shared" si="8"/>
        <v>6445.416666666667</v>
      </c>
      <c r="P22" s="7">
        <f t="shared" si="9"/>
        <v>1289.0833333333335</v>
      </c>
      <c r="Q22" s="1">
        <f>4785</f>
        <v>4785</v>
      </c>
      <c r="R22" s="1">
        <f>19000+84924.5</f>
        <v>103924.5</v>
      </c>
      <c r="S22" s="7">
        <v>0</v>
      </c>
      <c r="T22" s="7">
        <v>9000</v>
      </c>
      <c r="U22" s="8">
        <f>33825+21040+50000+105073.5</f>
        <v>209938.5</v>
      </c>
      <c r="V22" s="18" t="s">
        <v>17</v>
      </c>
    </row>
    <row r="23" spans="1:25" x14ac:dyDescent="0.3">
      <c r="A23" s="6">
        <v>46047</v>
      </c>
      <c r="B23" s="1">
        <f>39275+18284.34</f>
        <v>57559.34</v>
      </c>
      <c r="C23" s="7">
        <f t="shared" si="0"/>
        <v>52326.672727272722</v>
      </c>
      <c r="D23" s="7">
        <f t="shared" si="1"/>
        <v>5232.6672727272726</v>
      </c>
      <c r="E23" s="1">
        <f>11090+12820.59</f>
        <v>23910.59</v>
      </c>
      <c r="F23" s="7">
        <f t="shared" si="2"/>
        <v>19925.491666666669</v>
      </c>
      <c r="G23" s="7">
        <f t="shared" si="3"/>
        <v>3985.0983333333338</v>
      </c>
      <c r="H23" s="1">
        <f>2225+535.07</f>
        <v>2760.07</v>
      </c>
      <c r="I23" s="7">
        <f t="shared" si="4"/>
        <v>2509.1545454545453</v>
      </c>
      <c r="J23" s="7">
        <f t="shared" si="5"/>
        <v>250.91545454545454</v>
      </c>
      <c r="K23" s="7">
        <v>0</v>
      </c>
      <c r="L23" s="7">
        <f t="shared" si="6"/>
        <v>0</v>
      </c>
      <c r="M23" s="7">
        <f t="shared" si="7"/>
        <v>0</v>
      </c>
      <c r="N23" s="1">
        <f>5259+784</f>
        <v>6043</v>
      </c>
      <c r="O23" s="7">
        <f t="shared" si="8"/>
        <v>5035.8333333333339</v>
      </c>
      <c r="P23" s="7">
        <f t="shared" si="9"/>
        <v>1007.1666666666669</v>
      </c>
      <c r="Q23" s="7">
        <v>0</v>
      </c>
      <c r="R23" s="1">
        <f>57849-7012.5+32424</f>
        <v>83260.5</v>
      </c>
      <c r="S23" s="1">
        <v>7012.5</v>
      </c>
      <c r="T23" s="7">
        <v>0</v>
      </c>
      <c r="U23" s="8">
        <f>20262+56870</f>
        <v>77132</v>
      </c>
      <c r="V23" s="4"/>
    </row>
    <row r="24" spans="1:25" x14ac:dyDescent="0.3">
      <c r="A24" s="6">
        <v>46049</v>
      </c>
      <c r="B24" s="1">
        <f>19364.89+3523.02+17750+4625</f>
        <v>45262.91</v>
      </c>
      <c r="C24" s="7">
        <f t="shared" si="0"/>
        <v>41148.1</v>
      </c>
      <c r="D24" s="7">
        <f t="shared" si="1"/>
        <v>4114.8100000000004</v>
      </c>
      <c r="E24" s="1">
        <f>12175.11+7217.12+4015+4870</f>
        <v>28277.23</v>
      </c>
      <c r="F24" s="7">
        <f t="shared" si="2"/>
        <v>23564.358333333334</v>
      </c>
      <c r="G24" s="7">
        <f t="shared" si="3"/>
        <v>4712.8716666666669</v>
      </c>
      <c r="H24" s="1">
        <f>250+249.86+700</f>
        <v>1199.8600000000001</v>
      </c>
      <c r="I24" s="7">
        <f t="shared" si="4"/>
        <v>1090.7818181818182</v>
      </c>
      <c r="J24" s="7">
        <f t="shared" si="5"/>
        <v>109.07818181818182</v>
      </c>
      <c r="K24" s="7">
        <v>0</v>
      </c>
      <c r="L24" s="7">
        <f t="shared" si="6"/>
        <v>0</v>
      </c>
      <c r="M24" s="7">
        <f t="shared" si="7"/>
        <v>0</v>
      </c>
      <c r="N24" s="1">
        <v>2246.5</v>
      </c>
      <c r="O24" s="7">
        <f t="shared" si="8"/>
        <v>1872.0833333333335</v>
      </c>
      <c r="P24" s="7">
        <f t="shared" si="9"/>
        <v>374.41666666666674</v>
      </c>
      <c r="Q24" s="1">
        <v>2100</v>
      </c>
      <c r="R24" s="1">
        <f>31790+8890+24711.5+9495</f>
        <v>74886.5</v>
      </c>
      <c r="S24" s="7">
        <v>0</v>
      </c>
      <c r="T24" s="7"/>
      <c r="U24" s="8">
        <f>41430+9900</f>
        <v>51330</v>
      </c>
      <c r="V24" s="4"/>
    </row>
    <row r="25" spans="1:25" x14ac:dyDescent="0.3">
      <c r="A25" s="6">
        <v>46050</v>
      </c>
      <c r="B25" s="1">
        <f>24125.51+18775+3275</f>
        <v>46175.509999999995</v>
      </c>
      <c r="C25" s="7">
        <f t="shared" si="0"/>
        <v>41977.736363636359</v>
      </c>
      <c r="D25" s="7">
        <f t="shared" si="1"/>
        <v>4197.7736363636359</v>
      </c>
      <c r="E25" s="1">
        <f>10818.51+6000+9695+3300</f>
        <v>29813.510000000002</v>
      </c>
      <c r="F25" s="7">
        <f t="shared" si="2"/>
        <v>24844.591666666671</v>
      </c>
      <c r="G25" s="7">
        <f t="shared" si="3"/>
        <v>4968.9183333333349</v>
      </c>
      <c r="H25" s="1">
        <f>1045.98+1500</f>
        <v>2545.98</v>
      </c>
      <c r="I25" s="7">
        <f t="shared" si="4"/>
        <v>2314.5272727272727</v>
      </c>
      <c r="J25" s="7">
        <f t="shared" si="5"/>
        <v>231.45272727272729</v>
      </c>
      <c r="K25" s="1">
        <v>500</v>
      </c>
      <c r="L25" s="7">
        <f t="shared" si="6"/>
        <v>416.66666666666669</v>
      </c>
      <c r="M25" s="7">
        <f t="shared" si="7"/>
        <v>83.333333333333343</v>
      </c>
      <c r="N25" s="1">
        <f>2658.5+657.5</f>
        <v>3316</v>
      </c>
      <c r="O25" s="7">
        <f t="shared" si="8"/>
        <v>2763.3333333333335</v>
      </c>
      <c r="P25" s="7">
        <f t="shared" si="9"/>
        <v>552.66666666666674</v>
      </c>
      <c r="Q25" s="1">
        <f>750</f>
        <v>750</v>
      </c>
      <c r="R25" s="1">
        <f>35240+6000+33128.5+7232.5</f>
        <v>81601</v>
      </c>
      <c r="S25" s="7">
        <v>0</v>
      </c>
      <c r="T25" s="7">
        <v>0</v>
      </c>
      <c r="U25" s="8">
        <f>34400+77450+48955.5+12000</f>
        <v>172805.5</v>
      </c>
      <c r="V25" s="4"/>
    </row>
    <row r="26" spans="1:25" x14ac:dyDescent="0.3">
      <c r="A26" s="6">
        <v>46051</v>
      </c>
      <c r="B26" s="1">
        <f>4875+4357.66+9045+5787.54</f>
        <v>24065.200000000001</v>
      </c>
      <c r="C26" s="7">
        <f t="shared" si="0"/>
        <v>21877.454545454544</v>
      </c>
      <c r="D26" s="7">
        <f t="shared" si="1"/>
        <v>2187.7454545454543</v>
      </c>
      <c r="E26" s="1">
        <f>725+4982.34+4025+4212.46</f>
        <v>13944.8</v>
      </c>
      <c r="F26" s="7">
        <f t="shared" si="2"/>
        <v>11620.666666666666</v>
      </c>
      <c r="G26" s="7">
        <f t="shared" si="3"/>
        <v>2324.1333333333332</v>
      </c>
      <c r="H26" s="1">
        <f>525+350</f>
        <v>875</v>
      </c>
      <c r="I26" s="7">
        <f t="shared" si="4"/>
        <v>795.45454545454538</v>
      </c>
      <c r="J26" s="7">
        <f t="shared" si="5"/>
        <v>79.545454545454547</v>
      </c>
      <c r="K26" s="7">
        <f>0</f>
        <v>0</v>
      </c>
      <c r="L26" s="7">
        <f t="shared" si="6"/>
        <v>0</v>
      </c>
      <c r="M26" s="7">
        <f t="shared" si="7"/>
        <v>0</v>
      </c>
      <c r="N26" s="1">
        <f>370+1342</f>
        <v>1712</v>
      </c>
      <c r="O26" s="7">
        <f t="shared" si="8"/>
        <v>1426.6666666666667</v>
      </c>
      <c r="P26" s="7">
        <f t="shared" si="9"/>
        <v>285.33333333333337</v>
      </c>
      <c r="Q26" s="1">
        <f>4000</f>
        <v>4000</v>
      </c>
      <c r="R26" s="1">
        <f>6495+9340+14762+6000</f>
        <v>36597</v>
      </c>
      <c r="S26" s="7">
        <v>0</v>
      </c>
      <c r="T26" s="7"/>
      <c r="U26" s="8">
        <f>15000+24860+15000+14250</f>
        <v>69110</v>
      </c>
      <c r="V26" s="4"/>
    </row>
    <row r="27" spans="1:25" x14ac:dyDescent="0.3">
      <c r="A27" s="6">
        <v>46052</v>
      </c>
      <c r="B27" s="1">
        <f>8886.14+33761.66+8300</f>
        <v>50947.8</v>
      </c>
      <c r="C27" s="7">
        <f t="shared" si="0"/>
        <v>46316.181818181816</v>
      </c>
      <c r="D27" s="7">
        <f t="shared" si="1"/>
        <v>4631.6181818181822</v>
      </c>
      <c r="E27" s="1">
        <f>10940.48+9054.17+7175+2200</f>
        <v>29369.65</v>
      </c>
      <c r="F27" s="7">
        <f t="shared" si="2"/>
        <v>24474.708333333336</v>
      </c>
      <c r="G27" s="7">
        <f t="shared" si="3"/>
        <v>4894.9416666666675</v>
      </c>
      <c r="H27" s="1">
        <f>248.38+2379.17+175</f>
        <v>2802.55</v>
      </c>
      <c r="I27" s="7">
        <f t="shared" si="4"/>
        <v>2547.772727272727</v>
      </c>
      <c r="J27" s="7">
        <f t="shared" si="5"/>
        <v>254.7772727272727</v>
      </c>
      <c r="K27" s="1">
        <v>1250</v>
      </c>
      <c r="L27" s="7">
        <f t="shared" si="6"/>
        <v>1041.6666666666667</v>
      </c>
      <c r="M27" s="7">
        <f t="shared" si="7"/>
        <v>208.33333333333337</v>
      </c>
      <c r="N27" s="1">
        <v>500</v>
      </c>
      <c r="O27" s="7">
        <f t="shared" si="8"/>
        <v>416.66666666666669</v>
      </c>
      <c r="P27" s="7">
        <f t="shared" si="9"/>
        <v>83.333333333333343</v>
      </c>
      <c r="Q27" s="7">
        <f>0</f>
        <v>0</v>
      </c>
      <c r="R27" s="1">
        <f>20075-12350+45695+16900+2200</f>
        <v>72520</v>
      </c>
      <c r="S27" s="1">
        <f>12350</f>
        <v>12350</v>
      </c>
      <c r="T27" s="7">
        <v>1440</v>
      </c>
      <c r="U27" s="8">
        <f>97450+17000+21085+83370+17600+690</f>
        <v>237195</v>
      </c>
      <c r="V27" s="4" t="s">
        <v>18</v>
      </c>
    </row>
    <row r="28" spans="1:25" ht="28.8" x14ac:dyDescent="0.3">
      <c r="A28" s="6">
        <v>46053</v>
      </c>
      <c r="B28" s="1">
        <f>6390.25+82950</f>
        <v>89340.25</v>
      </c>
      <c r="C28" s="7">
        <f t="shared" ref="C28" si="10">B28/1.1</f>
        <v>81218.409090909088</v>
      </c>
      <c r="D28" s="7">
        <f t="shared" ref="D28" si="11">C28*0.1</f>
        <v>8121.840909090909</v>
      </c>
      <c r="E28" s="1">
        <f>3609.75+30140+1585</f>
        <v>35334.75</v>
      </c>
      <c r="F28" s="7">
        <f t="shared" ref="F28" si="12">E28/1.2</f>
        <v>29445.625</v>
      </c>
      <c r="G28" s="7">
        <f t="shared" ref="G28" si="13">F28*0.2</f>
        <v>5889.125</v>
      </c>
      <c r="H28" s="1">
        <v>460</v>
      </c>
      <c r="I28" s="7">
        <f t="shared" ref="I28" si="14">H28/1.1</f>
        <v>418.18181818181813</v>
      </c>
      <c r="J28" s="7">
        <f t="shared" ref="J28" si="15">I28*0.1</f>
        <v>41.818181818181813</v>
      </c>
      <c r="K28" s="1">
        <v>1000</v>
      </c>
      <c r="L28" s="7">
        <f t="shared" ref="L28" si="16">K28/1.2</f>
        <v>833.33333333333337</v>
      </c>
      <c r="M28" s="7">
        <f t="shared" ref="M28" si="17">L28*0.2</f>
        <v>166.66666666666669</v>
      </c>
      <c r="N28" s="7">
        <v>0</v>
      </c>
      <c r="O28" s="7">
        <f t="shared" ref="O28" si="18">N28/1.2</f>
        <v>0</v>
      </c>
      <c r="P28" s="7">
        <f t="shared" ref="P28" si="19">O28*0.2</f>
        <v>0</v>
      </c>
      <c r="Q28" s="1">
        <f>14350</f>
        <v>14350</v>
      </c>
      <c r="R28" s="1">
        <f>10000+100200+1585</f>
        <v>111785</v>
      </c>
      <c r="S28" s="7"/>
      <c r="T28" s="7">
        <v>3300</v>
      </c>
      <c r="U28" s="8">
        <f>19000+53200+39000+54605</f>
        <v>165805</v>
      </c>
      <c r="V28" s="9" t="s">
        <v>19</v>
      </c>
      <c r="W28" s="55" t="s">
        <v>48</v>
      </c>
    </row>
    <row r="29" spans="1:25" x14ac:dyDescent="0.3">
      <c r="B29" s="11">
        <f>SUM(B3:B28)</f>
        <v>1553397.16</v>
      </c>
      <c r="C29" s="12">
        <f>B29/1.1</f>
        <v>1412179.2363636361</v>
      </c>
      <c r="D29" s="12">
        <f t="shared" ref="D29" si="20">C29*10/100</f>
        <v>141217.92363636362</v>
      </c>
      <c r="E29" s="11">
        <f>SUM(E3:E28)</f>
        <v>697020.83</v>
      </c>
      <c r="F29" s="12">
        <f t="shared" si="2"/>
        <v>580850.69166666665</v>
      </c>
      <c r="G29" s="12">
        <f t="shared" ref="G29" si="21">F29*20/100</f>
        <v>116170.13833333332</v>
      </c>
      <c r="H29" s="11">
        <f>SUM(H3:H28)</f>
        <v>57312.01</v>
      </c>
      <c r="I29" s="12">
        <f t="shared" si="4"/>
        <v>52101.827272727271</v>
      </c>
      <c r="J29" s="12">
        <f t="shared" ref="J29" si="22">I29*10/100</f>
        <v>5210.1827272727269</v>
      </c>
      <c r="K29" s="11">
        <f>SUM(K3:K28)</f>
        <v>22850</v>
      </c>
      <c r="L29" s="12">
        <f t="shared" si="6"/>
        <v>19041.666666666668</v>
      </c>
      <c r="M29" s="12">
        <f t="shared" ref="M29" si="23">L29*20/100</f>
        <v>3808.3333333333339</v>
      </c>
      <c r="N29" s="11">
        <f>SUM(N3:N28)</f>
        <v>111477</v>
      </c>
      <c r="O29" s="12">
        <f t="shared" si="8"/>
        <v>92897.5</v>
      </c>
      <c r="P29" s="12">
        <f t="shared" ref="P29" si="24">O29*20/100</f>
        <v>18579.5</v>
      </c>
      <c r="Q29" s="11">
        <f>SUM(Q3:Q28)</f>
        <v>80385</v>
      </c>
      <c r="R29" s="11">
        <f>SUM(R3:R28)</f>
        <v>2258092.5</v>
      </c>
      <c r="S29" s="11">
        <f>SUM(S3:S28)</f>
        <v>103579.5</v>
      </c>
      <c r="T29" s="11">
        <f>SUM(T3:T28)</f>
        <v>40260</v>
      </c>
      <c r="U29" s="11">
        <f>SUM(U3:U28)</f>
        <v>2986073.54</v>
      </c>
      <c r="V29" s="4"/>
    </row>
    <row r="31" spans="1:25" s="13" customFormat="1" x14ac:dyDescent="0.3">
      <c r="A31" s="53" t="s">
        <v>23</v>
      </c>
      <c r="B31" s="11">
        <v>145401.44</v>
      </c>
      <c r="C31" s="13">
        <v>132183.12727272726</v>
      </c>
      <c r="D31" s="13">
        <v>13218.312727272725</v>
      </c>
      <c r="H31" s="11">
        <v>758374.15999999992</v>
      </c>
      <c r="I31" s="13">
        <v>689431.05454545445</v>
      </c>
      <c r="J31" s="13">
        <v>68943.105454545454</v>
      </c>
      <c r="Q31" s="13">
        <v>150316.22</v>
      </c>
      <c r="R31" s="13">
        <v>699732.08000000007</v>
      </c>
      <c r="S31" s="13">
        <v>43683</v>
      </c>
      <c r="T31" s="13">
        <v>26052</v>
      </c>
      <c r="U31" s="13">
        <v>9244</v>
      </c>
      <c r="V31" s="53">
        <v>16905</v>
      </c>
      <c r="W31" s="13">
        <v>5045</v>
      </c>
      <c r="X31" s="13">
        <v>4999.3</v>
      </c>
      <c r="Y31" s="13">
        <v>2660</v>
      </c>
    </row>
    <row r="33" spans="1:23" ht="15" thickBot="1" x14ac:dyDescent="0.35"/>
    <row r="34" spans="1:23" x14ac:dyDescent="0.3">
      <c r="A34" s="21"/>
      <c r="B34" s="22"/>
      <c r="C34" s="22"/>
      <c r="D34" s="22"/>
      <c r="E34" s="23"/>
      <c r="G34" s="21"/>
      <c r="H34" s="22"/>
      <c r="I34" s="22"/>
      <c r="J34" s="22"/>
      <c r="K34" s="23"/>
      <c r="Q34" s="13"/>
      <c r="R34" s="13"/>
      <c r="V34" s="3" t="s">
        <v>52</v>
      </c>
    </row>
    <row r="35" spans="1:23" x14ac:dyDescent="0.3">
      <c r="A35" s="59" t="s">
        <v>20</v>
      </c>
      <c r="B35" s="60"/>
      <c r="C35" s="60"/>
      <c r="D35" s="60"/>
      <c r="E35" s="61"/>
      <c r="G35" s="59" t="s">
        <v>21</v>
      </c>
      <c r="H35" s="60"/>
      <c r="I35" s="60"/>
      <c r="J35" s="60"/>
      <c r="K35" s="61"/>
      <c r="V35" s="3"/>
    </row>
    <row r="36" spans="1:23" x14ac:dyDescent="0.3">
      <c r="A36" s="24"/>
      <c r="B36" s="25"/>
      <c r="C36" s="25"/>
      <c r="D36" s="25"/>
      <c r="E36" s="26"/>
      <c r="G36" s="24"/>
      <c r="H36" s="25"/>
      <c r="I36" s="25"/>
      <c r="J36" s="25"/>
      <c r="K36" s="26"/>
      <c r="V36" s="3"/>
    </row>
    <row r="37" spans="1:23" x14ac:dyDescent="0.3">
      <c r="A37" s="27" t="s">
        <v>22</v>
      </c>
      <c r="B37" s="28">
        <v>1</v>
      </c>
      <c r="C37" s="29">
        <v>2</v>
      </c>
      <c r="D37" s="29" t="s">
        <v>23</v>
      </c>
      <c r="E37" s="30" t="s">
        <v>24</v>
      </c>
      <c r="F37"/>
      <c r="G37" s="27"/>
      <c r="H37" s="28">
        <v>1</v>
      </c>
      <c r="I37" s="29"/>
      <c r="J37" s="29" t="s">
        <v>23</v>
      </c>
      <c r="K37" s="30" t="s">
        <v>24</v>
      </c>
      <c r="L37"/>
      <c r="M37"/>
      <c r="N37"/>
      <c r="O37" t="s">
        <v>25</v>
      </c>
      <c r="P37"/>
      <c r="Q37" t="s">
        <v>26</v>
      </c>
      <c r="R37" t="s">
        <v>27</v>
      </c>
      <c r="S37" t="s">
        <v>28</v>
      </c>
      <c r="T37" t="s">
        <v>29</v>
      </c>
      <c r="U37"/>
      <c r="V37" s="31"/>
      <c r="W37"/>
    </row>
    <row r="38" spans="1:23" x14ac:dyDescent="0.3">
      <c r="A38" s="32">
        <v>0.1</v>
      </c>
      <c r="B38" s="28">
        <v>849047.11</v>
      </c>
      <c r="C38" s="28">
        <v>761662.06</v>
      </c>
      <c r="D38" s="28">
        <v>903775.6</v>
      </c>
      <c r="E38" s="30">
        <f>SUM(B38:D38)</f>
        <v>2514484.77</v>
      </c>
      <c r="F38" s="33"/>
      <c r="G38" s="32">
        <v>0.1</v>
      </c>
      <c r="H38" s="28">
        <f>B29+H29</f>
        <v>1610709.17</v>
      </c>
      <c r="I38" s="28"/>
      <c r="J38" s="28">
        <f>B31+H31</f>
        <v>903775.59999999986</v>
      </c>
      <c r="K38" s="30">
        <f>SUM(H38:J38)</f>
        <v>2514484.7699999996</v>
      </c>
      <c r="L38" s="33"/>
      <c r="M38"/>
      <c r="N38" s="34">
        <v>0.1</v>
      </c>
      <c r="O38" s="33">
        <v>0</v>
      </c>
      <c r="P38"/>
      <c r="Q38" s="33">
        <f>3275767.46-52916.67</f>
        <v>3222850.79</v>
      </c>
      <c r="R38" s="33">
        <v>872253.73</v>
      </c>
      <c r="S38" s="33">
        <f>SUM(Q38:R38)</f>
        <v>4095104.52</v>
      </c>
      <c r="T38" s="33">
        <f>S38*10/100</f>
        <v>409510.45200000005</v>
      </c>
      <c r="U38" s="33">
        <v>409510.37</v>
      </c>
      <c r="V38" s="35">
        <f>T38-U38</f>
        <v>8.2000000053085387E-2</v>
      </c>
      <c r="W38"/>
    </row>
    <row r="39" spans="1:23" x14ac:dyDescent="0.3">
      <c r="A39" s="32">
        <v>0.2</v>
      </c>
      <c r="B39" s="28">
        <v>433651.39</v>
      </c>
      <c r="C39" s="28">
        <v>397696.44</v>
      </c>
      <c r="D39" s="28"/>
      <c r="E39" s="30">
        <f>SUM(B39:D39)</f>
        <v>831347.83000000007</v>
      </c>
      <c r="F39" s="33"/>
      <c r="G39" s="32">
        <v>0.2</v>
      </c>
      <c r="H39" s="28">
        <f>E29+K29+N29</f>
        <v>831347.83</v>
      </c>
      <c r="I39" s="28"/>
      <c r="J39" s="28"/>
      <c r="K39" s="30">
        <f>SUM(H39:J39)</f>
        <v>831347.83</v>
      </c>
      <c r="L39" s="33"/>
      <c r="M39"/>
      <c r="N39" s="34">
        <v>0.2</v>
      </c>
      <c r="O39" s="33">
        <f>D39</f>
        <v>0</v>
      </c>
      <c r="P39"/>
      <c r="Q39" s="33">
        <f>1801901.38-64184.01</f>
        <v>1737717.3699999999</v>
      </c>
      <c r="R39" s="33"/>
      <c r="S39" s="33">
        <f>SUM(Q39:R39)</f>
        <v>1737717.3699999999</v>
      </c>
      <c r="T39" s="33">
        <f>S39*20/100</f>
        <v>347543.47399999999</v>
      </c>
      <c r="U39" s="33">
        <v>347543.36</v>
      </c>
      <c r="V39" s="35">
        <f>T39-U39</f>
        <v>0.11400000000139698</v>
      </c>
      <c r="W39"/>
    </row>
    <row r="40" spans="1:23" x14ac:dyDescent="0.3">
      <c r="A40" s="36" t="s">
        <v>24</v>
      </c>
      <c r="B40" s="37">
        <f>SUM(B38:B39)</f>
        <v>1282698.5</v>
      </c>
      <c r="C40" s="37">
        <f>SUM(C38:C39)</f>
        <v>1159358.5</v>
      </c>
      <c r="D40" s="37">
        <f>SUM(D38:D39)</f>
        <v>903775.6</v>
      </c>
      <c r="E40" s="30">
        <f>SUM(E38:E39)</f>
        <v>3345832.6</v>
      </c>
      <c r="F40" s="38"/>
      <c r="G40" s="36" t="s">
        <v>24</v>
      </c>
      <c r="H40" s="37">
        <f>SUM(H38:H39)</f>
        <v>2442057</v>
      </c>
      <c r="I40" s="37"/>
      <c r="J40" s="37">
        <f>SUM(J38:J39)</f>
        <v>903775.59999999986</v>
      </c>
      <c r="K40" s="39">
        <f>SUM(K38:K39)</f>
        <v>3345832.5999999996</v>
      </c>
      <c r="L40" s="33"/>
      <c r="M40"/>
      <c r="N40"/>
      <c r="O40"/>
      <c r="P40"/>
      <c r="Q40" s="33"/>
      <c r="R40" s="33"/>
      <c r="S40" s="33">
        <f>SUM(S38:S39)</f>
        <v>5832821.8899999997</v>
      </c>
      <c r="T40" s="33">
        <f>SUM(T38:T39)</f>
        <v>757053.92599999998</v>
      </c>
      <c r="U40" s="33">
        <f>S40+T40</f>
        <v>6589875.8159999996</v>
      </c>
      <c r="V40" s="40" t="s">
        <v>30</v>
      </c>
      <c r="W40"/>
    </row>
    <row r="41" spans="1:23" x14ac:dyDescent="0.3">
      <c r="A41" s="27" t="s">
        <v>31</v>
      </c>
      <c r="B41" s="28">
        <v>49355</v>
      </c>
      <c r="C41" s="28">
        <v>89910</v>
      </c>
      <c r="D41" s="28">
        <v>158900.22</v>
      </c>
      <c r="E41" s="30">
        <f>SUM(B41:D41)</f>
        <v>298165.21999999997</v>
      </c>
      <c r="F41" s="33"/>
      <c r="G41" s="27" t="s">
        <v>31</v>
      </c>
      <c r="H41" s="28">
        <f>Q29+T29</f>
        <v>120645</v>
      </c>
      <c r="I41" s="28"/>
      <c r="J41" s="28">
        <f>Q31</f>
        <v>150316.22</v>
      </c>
      <c r="K41" s="30">
        <f>SUM(H41:J41)</f>
        <v>270961.21999999997</v>
      </c>
      <c r="L41" s="33">
        <f>K41-E41</f>
        <v>-27204</v>
      </c>
      <c r="M41"/>
      <c r="N41"/>
      <c r="O41" s="41" t="s">
        <v>32</v>
      </c>
      <c r="P41" s="41"/>
      <c r="Q41" s="38"/>
      <c r="R41" s="38"/>
      <c r="S41"/>
      <c r="T41"/>
      <c r="U41" s="33">
        <f>E40</f>
        <v>3345832.6</v>
      </c>
      <c r="V41" s="40" t="s">
        <v>33</v>
      </c>
      <c r="W41"/>
    </row>
    <row r="42" spans="1:23" x14ac:dyDescent="0.3">
      <c r="A42" s="27" t="s">
        <v>34</v>
      </c>
      <c r="B42" s="28">
        <v>2639434</v>
      </c>
      <c r="C42" s="28">
        <v>2741291.54</v>
      </c>
      <c r="D42" s="28">
        <v>734831.08</v>
      </c>
      <c r="E42" s="30">
        <f>SUM(B42:D42)</f>
        <v>6115556.6200000001</v>
      </c>
      <c r="F42" s="33"/>
      <c r="G42" s="27" t="s">
        <v>34</v>
      </c>
      <c r="H42" s="28">
        <f>R29+S29+U29</f>
        <v>5347745.54</v>
      </c>
      <c r="I42" s="28"/>
      <c r="J42" s="28">
        <f>R31+S31</f>
        <v>743415.08000000007</v>
      </c>
      <c r="K42" s="30">
        <f>SUM(H42:J42)</f>
        <v>6091160.6200000001</v>
      </c>
      <c r="L42" s="33">
        <f>K42-E42</f>
        <v>-24396</v>
      </c>
      <c r="M42"/>
      <c r="N42"/>
      <c r="O42"/>
      <c r="P42"/>
      <c r="Q42" s="33"/>
      <c r="R42" s="33"/>
      <c r="S42"/>
      <c r="T42"/>
      <c r="U42" s="33">
        <v>3037833.6</v>
      </c>
      <c r="V42" s="40" t="s">
        <v>35</v>
      </c>
      <c r="W42"/>
    </row>
    <row r="43" spans="1:23" x14ac:dyDescent="0.3">
      <c r="A43" s="36" t="s">
        <v>24</v>
      </c>
      <c r="B43" s="37">
        <f>SUM(B41:B42)</f>
        <v>2688789</v>
      </c>
      <c r="C43" s="37">
        <f>SUM(C41:C42)</f>
        <v>2831201.54</v>
      </c>
      <c r="D43" s="37">
        <f>SUM(D41:D42)</f>
        <v>893731.29999999993</v>
      </c>
      <c r="E43" s="39">
        <f>SUM(B43:D43)</f>
        <v>6413721.8399999999</v>
      </c>
      <c r="F43" s="38"/>
      <c r="G43" s="36" t="s">
        <v>24</v>
      </c>
      <c r="H43" s="37">
        <f>SUM(H41:H42)</f>
        <v>5468390.54</v>
      </c>
      <c r="I43" s="37"/>
      <c r="J43" s="37">
        <f>SUM(J41:J42)</f>
        <v>893731.3</v>
      </c>
      <c r="K43" s="39">
        <f>SUM(H43:J43)</f>
        <v>6362121.8399999999</v>
      </c>
      <c r="L43" s="38">
        <v>39000</v>
      </c>
      <c r="M43" t="s">
        <v>49</v>
      </c>
      <c r="N43"/>
      <c r="O43"/>
      <c r="P43"/>
      <c r="Q43" s="33"/>
      <c r="R43" s="33"/>
      <c r="S43"/>
      <c r="T43"/>
      <c r="U43" s="38"/>
      <c r="V43" s="42" t="s">
        <v>36</v>
      </c>
      <c r="W43"/>
    </row>
    <row r="44" spans="1:23" x14ac:dyDescent="0.3">
      <c r="A44" s="43" t="s">
        <v>37</v>
      </c>
      <c r="B44" s="44">
        <f>B43-B40</f>
        <v>1406090.5</v>
      </c>
      <c r="C44" s="44">
        <f t="shared" ref="C44:D44" si="25">C43-C40</f>
        <v>1671843.04</v>
      </c>
      <c r="D44" s="44">
        <f t="shared" si="25"/>
        <v>-10044.300000000047</v>
      </c>
      <c r="E44" s="45"/>
      <c r="F44"/>
      <c r="G44" s="43" t="s">
        <v>37</v>
      </c>
      <c r="H44" s="44">
        <f>H43-H40</f>
        <v>3026333.54</v>
      </c>
      <c r="I44" s="44"/>
      <c r="J44" s="44">
        <f>J43-J40</f>
        <v>-10044.299999999814</v>
      </c>
      <c r="K44" s="45"/>
      <c r="L44" s="38">
        <v>15084</v>
      </c>
      <c r="M44" t="s">
        <v>50</v>
      </c>
      <c r="N44"/>
      <c r="O44"/>
      <c r="P44"/>
      <c r="Q44"/>
      <c r="R44"/>
      <c r="S44"/>
      <c r="T44" s="41" t="s">
        <v>28</v>
      </c>
      <c r="U44" s="38">
        <f>SUM(U41:U43)</f>
        <v>6383666.2000000002</v>
      </c>
      <c r="V44" s="31"/>
      <c r="W44"/>
    </row>
    <row r="45" spans="1:23" x14ac:dyDescent="0.3">
      <c r="A45" s="46" t="s">
        <v>38</v>
      </c>
      <c r="B45" s="47">
        <v>1406090.5</v>
      </c>
      <c r="C45" s="47">
        <v>1671843.04</v>
      </c>
      <c r="D45" s="47">
        <v>10044.299999999999</v>
      </c>
      <c r="E45" s="45"/>
      <c r="F45" s="38"/>
      <c r="G45" s="46" t="s">
        <v>38</v>
      </c>
      <c r="H45" s="47">
        <f>T29+U29</f>
        <v>3026333.54</v>
      </c>
      <c r="I45" s="47"/>
      <c r="J45" s="47">
        <f>W31+X31</f>
        <v>10044.299999999999</v>
      </c>
      <c r="K45" s="45"/>
      <c r="L45"/>
      <c r="M45"/>
      <c r="N45"/>
      <c r="O45"/>
      <c r="P45"/>
      <c r="Q45"/>
      <c r="R45"/>
      <c r="S45"/>
      <c r="T45"/>
      <c r="U45" s="38">
        <f>U40-U44</f>
        <v>206209.61599999946</v>
      </c>
      <c r="V45" s="42" t="s">
        <v>39</v>
      </c>
      <c r="W45"/>
    </row>
    <row r="46" spans="1:23" x14ac:dyDescent="0.3">
      <c r="A46" s="27"/>
      <c r="B46" s="28">
        <f>B44-B45</f>
        <v>0</v>
      </c>
      <c r="C46" s="28">
        <f>C44-C45</f>
        <v>0</v>
      </c>
      <c r="D46" s="29">
        <v>54861</v>
      </c>
      <c r="E46" s="48" t="s">
        <v>40</v>
      </c>
      <c r="F46"/>
      <c r="G46" s="27"/>
      <c r="H46" s="28">
        <f>H44-H45</f>
        <v>0</v>
      </c>
      <c r="I46" s="28"/>
      <c r="J46" s="29">
        <v>54861</v>
      </c>
      <c r="K46" s="48" t="s">
        <v>40</v>
      </c>
      <c r="L46"/>
      <c r="M46"/>
      <c r="N46"/>
      <c r="O46"/>
      <c r="P46"/>
      <c r="Q46"/>
      <c r="R46"/>
      <c r="S46"/>
      <c r="T46"/>
      <c r="U46" s="33">
        <v>138407.5</v>
      </c>
      <c r="V46" s="42" t="s">
        <v>41</v>
      </c>
      <c r="W46"/>
    </row>
    <row r="47" spans="1:23" x14ac:dyDescent="0.3">
      <c r="A47" s="27"/>
      <c r="B47" s="28"/>
      <c r="C47" s="28"/>
      <c r="D47" s="29"/>
      <c r="E47" s="48"/>
      <c r="F47"/>
      <c r="G47" s="27"/>
      <c r="H47" s="28"/>
      <c r="I47" s="28"/>
      <c r="J47" s="29"/>
      <c r="K47" s="48"/>
      <c r="L47"/>
      <c r="M47"/>
      <c r="N47"/>
      <c r="O47"/>
      <c r="P47"/>
      <c r="Q47"/>
      <c r="R47"/>
      <c r="S47"/>
      <c r="T47"/>
      <c r="U47" s="33">
        <v>0</v>
      </c>
      <c r="V47" s="42" t="s">
        <v>42</v>
      </c>
      <c r="W47"/>
    </row>
    <row r="48" spans="1:23" x14ac:dyDescent="0.3">
      <c r="A48" s="27"/>
      <c r="B48" s="28"/>
      <c r="C48" s="28"/>
      <c r="D48" s="29"/>
      <c r="E48" s="48"/>
      <c r="F48"/>
      <c r="G48" s="27"/>
      <c r="H48" s="28"/>
      <c r="I48" s="28"/>
      <c r="J48" s="29"/>
      <c r="K48" s="48"/>
      <c r="L48"/>
      <c r="M48"/>
      <c r="N48"/>
      <c r="O48"/>
      <c r="P48"/>
      <c r="Q48"/>
      <c r="R48"/>
      <c r="S48"/>
      <c r="T48"/>
      <c r="U48" s="38">
        <f>U46-U47</f>
        <v>138407.5</v>
      </c>
      <c r="V48" s="42" t="s">
        <v>43</v>
      </c>
      <c r="W48"/>
    </row>
    <row r="49" spans="1:23" ht="15" thickBot="1" x14ac:dyDescent="0.35">
      <c r="A49" s="49"/>
      <c r="B49" s="50"/>
      <c r="C49" s="50"/>
      <c r="D49" s="50"/>
      <c r="E49" s="51"/>
      <c r="F49"/>
      <c r="G49" s="49"/>
      <c r="H49" s="50"/>
      <c r="I49" s="50"/>
      <c r="J49" s="50"/>
      <c r="K49" s="51"/>
      <c r="L49"/>
      <c r="M49"/>
      <c r="N49"/>
      <c r="O49"/>
      <c r="P49"/>
      <c r="Q49"/>
      <c r="R49"/>
      <c r="S49"/>
      <c r="T49" s="41" t="s">
        <v>39</v>
      </c>
      <c r="U49" s="33">
        <f>U45-U48</f>
        <v>67802.115999999456</v>
      </c>
      <c r="V49" s="31"/>
      <c r="W49"/>
    </row>
    <row r="50" spans="1:23" x14ac:dyDescent="0.3">
      <c r="A50" s="52"/>
      <c r="B50" s="29"/>
      <c r="C50" s="29"/>
      <c r="D50" s="29"/>
      <c r="E50" s="29"/>
      <c r="F50"/>
      <c r="G50" s="52"/>
      <c r="H50" s="29"/>
      <c r="I50" s="29"/>
      <c r="J50" s="29"/>
      <c r="K50" s="29"/>
      <c r="L50"/>
      <c r="M50"/>
      <c r="N50"/>
      <c r="O50"/>
      <c r="P50"/>
      <c r="Q50"/>
      <c r="R50"/>
      <c r="S50"/>
      <c r="T50" s="41"/>
      <c r="U50" s="33">
        <v>55703.51</v>
      </c>
      <c r="V50" s="31" t="s">
        <v>44</v>
      </c>
      <c r="W50"/>
    </row>
    <row r="51" spans="1:23" x14ac:dyDescent="0.3">
      <c r="A51" s="52"/>
      <c r="B51" s="28">
        <f>B45+C45</f>
        <v>3077933.54</v>
      </c>
      <c r="C51" s="29" t="s">
        <v>53</v>
      </c>
      <c r="D51" s="29"/>
      <c r="E51" s="29"/>
      <c r="F51"/>
      <c r="G51" s="52"/>
      <c r="H51" s="29"/>
      <c r="I51" s="29"/>
      <c r="J51" s="29"/>
      <c r="K51" s="29"/>
      <c r="L51"/>
      <c r="M51"/>
      <c r="N51"/>
      <c r="O51"/>
      <c r="P51"/>
      <c r="Q51"/>
      <c r="R51"/>
      <c r="S51"/>
      <c r="T51" s="41"/>
      <c r="U51" s="33">
        <v>6216</v>
      </c>
      <c r="V51" s="31" t="s">
        <v>47</v>
      </c>
      <c r="W51"/>
    </row>
    <row r="52" spans="1:23" x14ac:dyDescent="0.3">
      <c r="A52" s="52"/>
      <c r="B52" s="29">
        <v>39000</v>
      </c>
      <c r="C52" s="29" t="s">
        <v>54</v>
      </c>
      <c r="D52" s="29"/>
      <c r="E52" s="29"/>
      <c r="F52"/>
      <c r="G52" s="52"/>
      <c r="H52" s="29"/>
      <c r="I52" s="29"/>
      <c r="J52" s="29"/>
      <c r="K52" s="29"/>
      <c r="L52"/>
      <c r="M52"/>
      <c r="N52"/>
      <c r="O52"/>
      <c r="P52"/>
      <c r="Q52"/>
      <c r="R52"/>
      <c r="S52"/>
      <c r="T52" s="41"/>
      <c r="U52" s="33">
        <f>U49-U50-U51</f>
        <v>5882.6059999994541</v>
      </c>
      <c r="V52" s="31"/>
      <c r="W52"/>
    </row>
    <row r="53" spans="1:23" x14ac:dyDescent="0.3">
      <c r="A53" s="31"/>
      <c r="B53" s="33">
        <f>B51-B52</f>
        <v>3038933.54</v>
      </c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 s="33">
        <v>5882.4</v>
      </c>
      <c r="V53" s="42" t="s">
        <v>55</v>
      </c>
      <c r="W53"/>
    </row>
    <row r="54" spans="1:23" x14ac:dyDescent="0.3">
      <c r="A54" s="31"/>
      <c r="B54">
        <v>3037833.6</v>
      </c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 s="33">
        <f>U52-U53</f>
        <v>0.20599999945443415</v>
      </c>
      <c r="V54" s="42"/>
      <c r="W54"/>
    </row>
    <row r="55" spans="1:23" x14ac:dyDescent="0.3">
      <c r="B55" s="13">
        <f>B53-B54</f>
        <v>1099.9399999999441</v>
      </c>
    </row>
  </sheetData>
  <mergeCells count="3">
    <mergeCell ref="T1:U1"/>
    <mergeCell ref="A35:E35"/>
    <mergeCell ref="G35:K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zoomScale="80" zoomScaleNormal="80" workbookViewId="0">
      <selection activeCell="B11" sqref="B11"/>
    </sheetView>
  </sheetViews>
  <sheetFormatPr defaultRowHeight="14.4" x14ac:dyDescent="0.3"/>
  <cols>
    <col min="1" max="1" width="12.109375" style="10" bestFit="1" customWidth="1"/>
    <col min="2" max="2" width="12.21875" style="3" bestFit="1" customWidth="1"/>
    <col min="3" max="3" width="11.5546875" style="3" bestFit="1" customWidth="1"/>
    <col min="4" max="4" width="11" style="3" bestFit="1" customWidth="1"/>
    <col min="5" max="5" width="15.109375" style="3" bestFit="1" customWidth="1"/>
    <col min="6" max="6" width="13.109375" style="3" bestFit="1" customWidth="1"/>
    <col min="7" max="7" width="12.109375" style="3" bestFit="1" customWidth="1"/>
    <col min="8" max="8" width="12.33203125" style="3" bestFit="1" customWidth="1"/>
    <col min="9" max="9" width="10" style="3" bestFit="1" customWidth="1"/>
    <col min="10" max="10" width="11.6640625" style="3" bestFit="1" customWidth="1"/>
    <col min="11" max="11" width="11.88671875" style="3" bestFit="1" customWidth="1"/>
    <col min="12" max="12" width="10" style="3" bestFit="1" customWidth="1"/>
    <col min="13" max="13" width="9" style="3" bestFit="1" customWidth="1"/>
    <col min="14" max="14" width="10.109375" style="3" bestFit="1" customWidth="1"/>
    <col min="15" max="15" width="10.33203125" style="3" customWidth="1"/>
    <col min="16" max="16" width="9" style="3" bestFit="1" customWidth="1"/>
    <col min="17" max="17" width="11.5546875" style="3" bestFit="1" customWidth="1"/>
    <col min="18" max="18" width="11.6640625" style="3" bestFit="1" customWidth="1"/>
    <col min="19" max="19" width="11.5546875" style="3" bestFit="1" customWidth="1"/>
    <col min="20" max="20" width="10" style="3" bestFit="1" customWidth="1"/>
    <col min="21" max="21" width="12.5546875" style="3" bestFit="1" customWidth="1"/>
    <col min="22" max="22" width="30.6640625" style="10" customWidth="1"/>
    <col min="23" max="16384" width="8.88671875" style="3"/>
  </cols>
  <sheetData>
    <row r="1" spans="1:22" x14ac:dyDescent="0.3">
      <c r="A1" s="19" t="s">
        <v>0</v>
      </c>
      <c r="B1" s="2" t="s">
        <v>1</v>
      </c>
      <c r="C1" s="2"/>
      <c r="D1" s="2"/>
      <c r="E1" s="2" t="s">
        <v>2</v>
      </c>
      <c r="F1" s="2"/>
      <c r="G1" s="2"/>
      <c r="H1" s="19" t="s">
        <v>3</v>
      </c>
      <c r="I1" s="2"/>
      <c r="J1" s="2"/>
      <c r="K1" s="19" t="s">
        <v>4</v>
      </c>
      <c r="L1" s="2"/>
      <c r="M1" s="2"/>
      <c r="N1" s="2" t="s">
        <v>5</v>
      </c>
      <c r="O1" s="2"/>
      <c r="P1" s="2"/>
      <c r="Q1" s="2" t="s">
        <v>6</v>
      </c>
      <c r="R1" s="2" t="s">
        <v>7</v>
      </c>
      <c r="S1" s="2" t="s">
        <v>11</v>
      </c>
      <c r="T1" s="57" t="s">
        <v>8</v>
      </c>
      <c r="U1" s="58"/>
      <c r="V1" s="19" t="s">
        <v>10</v>
      </c>
    </row>
    <row r="2" spans="1:22" x14ac:dyDescent="0.3">
      <c r="A2" s="4"/>
      <c r="B2" s="5">
        <v>0.1</v>
      </c>
      <c r="C2" s="5"/>
      <c r="D2" s="5"/>
      <c r="E2" s="5">
        <v>0.2</v>
      </c>
      <c r="F2" s="5"/>
      <c r="G2" s="5"/>
      <c r="H2" s="5">
        <v>0.1</v>
      </c>
      <c r="I2" s="5"/>
      <c r="J2" s="5"/>
      <c r="K2" s="5">
        <v>0.2</v>
      </c>
      <c r="L2" s="5"/>
      <c r="M2" s="5"/>
      <c r="N2" s="5">
        <v>0.2</v>
      </c>
      <c r="O2" s="5"/>
      <c r="P2" s="5"/>
      <c r="Q2" s="19"/>
      <c r="R2" s="19"/>
      <c r="S2" s="19"/>
      <c r="T2" s="19" t="s">
        <v>6</v>
      </c>
      <c r="U2" s="20" t="s">
        <v>9</v>
      </c>
      <c r="V2" s="4"/>
    </row>
    <row r="3" spans="1:22" ht="16.8" customHeight="1" x14ac:dyDescent="0.3">
      <c r="A3" s="6">
        <v>46054</v>
      </c>
      <c r="B3" s="1">
        <f>29400+970+27393.35+6000</f>
        <v>63763.35</v>
      </c>
      <c r="C3" s="7">
        <f t="shared" ref="C3:C28" si="0">B3/1.1</f>
        <v>57966.681818181809</v>
      </c>
      <c r="D3" s="7">
        <f t="shared" ref="D3:D28" si="1">C3*0.1</f>
        <v>5796.6681818181814</v>
      </c>
      <c r="E3" s="1">
        <f>1150+3300+9435.48</f>
        <v>13885.48</v>
      </c>
      <c r="F3" s="7">
        <f t="shared" ref="F3:F29" si="2">E3/1.2</f>
        <v>11571.233333333334</v>
      </c>
      <c r="G3" s="7">
        <f t="shared" ref="G3:G28" si="3">F3*0.2</f>
        <v>2314.2466666666669</v>
      </c>
      <c r="H3" s="1">
        <f>1480+2311.17</f>
        <v>3791.17</v>
      </c>
      <c r="I3" s="7">
        <f t="shared" ref="I3:I29" si="4">H3/1.1</f>
        <v>3446.5181818181818</v>
      </c>
      <c r="J3" s="7">
        <f t="shared" ref="J3:J28" si="5">I3*0.1</f>
        <v>344.65181818181821</v>
      </c>
      <c r="K3" s="7">
        <v>0</v>
      </c>
      <c r="L3" s="7">
        <f t="shared" ref="L3:L29" si="6">K3/1.2</f>
        <v>0</v>
      </c>
      <c r="M3" s="7">
        <f t="shared" ref="M3:M28" si="7">L3*0.2</f>
        <v>0</v>
      </c>
      <c r="N3" s="7">
        <v>0</v>
      </c>
      <c r="O3" s="7">
        <f t="shared" ref="O3:O29" si="8">N3/1.2</f>
        <v>0</v>
      </c>
      <c r="P3" s="7">
        <f t="shared" ref="P3:P28" si="9">O3*0.2</f>
        <v>0</v>
      </c>
      <c r="Q3" s="1">
        <f>270+4600</f>
        <v>4870</v>
      </c>
      <c r="R3" s="1">
        <f>32030+4000+34540+6000</f>
        <v>76570</v>
      </c>
      <c r="S3" s="7">
        <v>0</v>
      </c>
      <c r="T3" s="14">
        <v>0</v>
      </c>
      <c r="U3" s="7">
        <f>73890</f>
        <v>73890</v>
      </c>
      <c r="V3" s="9" t="s">
        <v>56</v>
      </c>
    </row>
    <row r="4" spans="1:22" ht="28.8" x14ac:dyDescent="0.3">
      <c r="A4" s="6">
        <v>46056</v>
      </c>
      <c r="B4" s="1">
        <f>26470+3575+8412.22</f>
        <v>38457.22</v>
      </c>
      <c r="C4" s="7">
        <f t="shared" si="0"/>
        <v>34961.109090909093</v>
      </c>
      <c r="D4" s="7">
        <f t="shared" si="1"/>
        <v>3496.1109090909094</v>
      </c>
      <c r="E4" s="1">
        <f>4540+6040+1945+3590</f>
        <v>16115</v>
      </c>
      <c r="F4" s="7">
        <f t="shared" si="2"/>
        <v>13429.166666666668</v>
      </c>
      <c r="G4" s="7">
        <f t="shared" si="3"/>
        <v>2685.8333333333339</v>
      </c>
      <c r="H4" s="1">
        <f>1895+332.78</f>
        <v>2227.7799999999997</v>
      </c>
      <c r="I4" s="7">
        <f t="shared" si="4"/>
        <v>2025.254545454545</v>
      </c>
      <c r="J4" s="7">
        <f t="shared" si="5"/>
        <v>202.52545454545452</v>
      </c>
      <c r="K4" s="7">
        <v>0</v>
      </c>
      <c r="L4" s="7">
        <f t="shared" si="6"/>
        <v>0</v>
      </c>
      <c r="M4" s="7">
        <f t="shared" si="7"/>
        <v>0</v>
      </c>
      <c r="N4" s="1">
        <v>375</v>
      </c>
      <c r="O4" s="7">
        <f t="shared" si="8"/>
        <v>312.5</v>
      </c>
      <c r="P4" s="7">
        <f t="shared" si="9"/>
        <v>62.5</v>
      </c>
      <c r="Q4" s="7">
        <f>0</f>
        <v>0</v>
      </c>
      <c r="R4" s="1">
        <f>33280+9615+10690</f>
        <v>53585</v>
      </c>
      <c r="S4" s="1">
        <v>3590</v>
      </c>
      <c r="T4" s="7"/>
      <c r="U4" s="8">
        <f>32510+78390</f>
        <v>110900</v>
      </c>
      <c r="V4" s="54" t="s">
        <v>45</v>
      </c>
    </row>
    <row r="5" spans="1:22" x14ac:dyDescent="0.3">
      <c r="A5" s="6">
        <v>46057</v>
      </c>
      <c r="B5" s="1">
        <f>41320+2825+55808.49+8765.39</f>
        <v>108718.87999999999</v>
      </c>
      <c r="C5" s="7">
        <f t="shared" si="0"/>
        <v>98835.345454545444</v>
      </c>
      <c r="D5" s="7">
        <f t="shared" si="1"/>
        <v>9883.5345454545459</v>
      </c>
      <c r="E5" s="1">
        <f>14470+3200+25699.47+6074.61</f>
        <v>49444.08</v>
      </c>
      <c r="F5" s="7">
        <f t="shared" si="2"/>
        <v>41203.4</v>
      </c>
      <c r="G5" s="7">
        <f t="shared" si="3"/>
        <v>8240.68</v>
      </c>
      <c r="H5" s="1">
        <f>875+1848.54+250</f>
        <v>2973.54</v>
      </c>
      <c r="I5" s="7">
        <f t="shared" si="4"/>
        <v>2703.2181818181816</v>
      </c>
      <c r="J5" s="7">
        <f t="shared" si="5"/>
        <v>270.32181818181817</v>
      </c>
      <c r="K5" s="1">
        <v>500</v>
      </c>
      <c r="L5" s="7">
        <f t="shared" si="6"/>
        <v>416.66666666666669</v>
      </c>
      <c r="M5" s="7">
        <f t="shared" si="7"/>
        <v>83.333333333333343</v>
      </c>
      <c r="N5" s="7">
        <v>0</v>
      </c>
      <c r="O5" s="7">
        <f t="shared" si="8"/>
        <v>0</v>
      </c>
      <c r="P5" s="7">
        <f t="shared" si="9"/>
        <v>0</v>
      </c>
      <c r="Q5" s="1">
        <f>11825+7930</f>
        <v>19755</v>
      </c>
      <c r="R5" s="1">
        <f>45340-9725+6025+75426.5+15090</f>
        <v>132156.5</v>
      </c>
      <c r="S5" s="1">
        <v>9725</v>
      </c>
      <c r="T5" s="7"/>
      <c r="U5" s="8">
        <v>12650</v>
      </c>
      <c r="V5" s="4"/>
    </row>
    <row r="6" spans="1:22" x14ac:dyDescent="0.3">
      <c r="A6" s="6">
        <v>46058</v>
      </c>
      <c r="B6" s="1">
        <f>13590.12+2700+13225</f>
        <v>29515.120000000003</v>
      </c>
      <c r="C6" s="7">
        <f t="shared" si="0"/>
        <v>26831.927272727273</v>
      </c>
      <c r="D6" s="7">
        <f t="shared" si="1"/>
        <v>2683.1927272727276</v>
      </c>
      <c r="E6" s="1">
        <f>5234.88+9450+3640</f>
        <v>18324.88</v>
      </c>
      <c r="F6" s="7">
        <f t="shared" si="2"/>
        <v>15270.733333333335</v>
      </c>
      <c r="G6" s="7">
        <f t="shared" si="3"/>
        <v>3054.1466666666674</v>
      </c>
      <c r="H6" s="1">
        <f>1435+875</f>
        <v>2310</v>
      </c>
      <c r="I6" s="7">
        <f t="shared" si="4"/>
        <v>2100</v>
      </c>
      <c r="J6" s="7">
        <f t="shared" si="5"/>
        <v>210</v>
      </c>
      <c r="K6" s="1">
        <v>650</v>
      </c>
      <c r="L6" s="7">
        <f t="shared" si="6"/>
        <v>541.66666666666674</v>
      </c>
      <c r="M6" s="7">
        <f t="shared" si="7"/>
        <v>108.33333333333336</v>
      </c>
      <c r="N6" s="7">
        <v>0</v>
      </c>
      <c r="O6" s="7">
        <f t="shared" si="8"/>
        <v>0</v>
      </c>
      <c r="P6" s="7">
        <f t="shared" si="9"/>
        <v>0</v>
      </c>
      <c r="Q6" s="7">
        <f>0</f>
        <v>0</v>
      </c>
      <c r="R6" s="1">
        <f>18825+13585+18390-6500</f>
        <v>44300</v>
      </c>
      <c r="S6" s="1">
        <v>6500</v>
      </c>
      <c r="T6" s="7">
        <v>345</v>
      </c>
      <c r="U6" s="8">
        <f>17000+39800+12888+32280</f>
        <v>101968</v>
      </c>
      <c r="V6" s="4"/>
    </row>
    <row r="7" spans="1:22" ht="28.8" x14ac:dyDescent="0.3">
      <c r="A7" s="6">
        <v>46059</v>
      </c>
      <c r="B7" s="1">
        <f>41398.52+5300+10009.98</f>
        <v>56708.5</v>
      </c>
      <c r="C7" s="7">
        <f t="shared" si="0"/>
        <v>51553.181818181816</v>
      </c>
      <c r="D7" s="7">
        <f t="shared" si="1"/>
        <v>5155.318181818182</v>
      </c>
      <c r="E7" s="1">
        <f>13127.48+5251.76</f>
        <v>18379.239999999998</v>
      </c>
      <c r="F7" s="7">
        <f t="shared" si="2"/>
        <v>15316.033333333333</v>
      </c>
      <c r="G7" s="7">
        <f t="shared" si="3"/>
        <v>3063.2066666666669</v>
      </c>
      <c r="H7" s="1">
        <f>1799+350+438.26</f>
        <v>2587.2600000000002</v>
      </c>
      <c r="I7" s="7">
        <f t="shared" si="4"/>
        <v>2352.0545454545454</v>
      </c>
      <c r="J7" s="7">
        <f t="shared" si="5"/>
        <v>235.20545454545456</v>
      </c>
      <c r="K7" s="7">
        <v>0</v>
      </c>
      <c r="L7" s="7">
        <f t="shared" si="6"/>
        <v>0</v>
      </c>
      <c r="M7" s="7">
        <f t="shared" si="7"/>
        <v>0</v>
      </c>
      <c r="N7" s="7">
        <v>0</v>
      </c>
      <c r="O7" s="7">
        <f t="shared" si="8"/>
        <v>0</v>
      </c>
      <c r="P7" s="7">
        <f t="shared" si="9"/>
        <v>0</v>
      </c>
      <c r="Q7" s="7">
        <f>0</f>
        <v>0</v>
      </c>
      <c r="R7" s="1">
        <f>56325-5005+5650+15700</f>
        <v>72670</v>
      </c>
      <c r="S7" s="1">
        <v>5005</v>
      </c>
      <c r="T7" s="7">
        <v>0</v>
      </c>
      <c r="U7" s="8">
        <f>89280+99800</f>
        <v>189080</v>
      </c>
      <c r="V7" s="9" t="s">
        <v>46</v>
      </c>
    </row>
    <row r="8" spans="1:22" x14ac:dyDescent="0.3">
      <c r="A8" s="6">
        <v>46060</v>
      </c>
      <c r="B8" s="1">
        <f>2550+5182.92</f>
        <v>7732.92</v>
      </c>
      <c r="C8" s="7">
        <f t="shared" si="0"/>
        <v>7029.9272727272719</v>
      </c>
      <c r="D8" s="7">
        <f t="shared" si="1"/>
        <v>702.99272727272728</v>
      </c>
      <c r="E8" s="1">
        <f>3917.08</f>
        <v>3917.08</v>
      </c>
      <c r="F8" s="7">
        <f t="shared" si="2"/>
        <v>3264.2333333333336</v>
      </c>
      <c r="G8" s="7">
        <f t="shared" si="3"/>
        <v>652.84666666666681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7"/>
      <c r="O8" s="7">
        <f t="shared" si="8"/>
        <v>0</v>
      </c>
      <c r="P8" s="7">
        <f t="shared" si="9"/>
        <v>0</v>
      </c>
      <c r="Q8" s="7">
        <v>0</v>
      </c>
      <c r="R8" s="1">
        <f>2550+9100</f>
        <v>11650</v>
      </c>
      <c r="S8" s="7">
        <v>0</v>
      </c>
      <c r="T8" s="7">
        <f>10000+10600</f>
        <v>20600</v>
      </c>
      <c r="U8" s="8">
        <f>16800+33865+16400+30800</f>
        <v>97865</v>
      </c>
      <c r="V8" s="17"/>
    </row>
    <row r="9" spans="1:22" x14ac:dyDescent="0.3">
      <c r="A9" s="6">
        <v>46061</v>
      </c>
      <c r="B9" s="1">
        <f>13160+66870</f>
        <v>80030</v>
      </c>
      <c r="C9" s="7">
        <f t="shared" si="0"/>
        <v>72754.545454545456</v>
      </c>
      <c r="D9" s="7">
        <f t="shared" si="1"/>
        <v>7275.454545454546</v>
      </c>
      <c r="E9" s="1">
        <f>2100+13425</f>
        <v>15525</v>
      </c>
      <c r="F9" s="7">
        <f t="shared" si="2"/>
        <v>12937.5</v>
      </c>
      <c r="G9" s="7">
        <f t="shared" si="3"/>
        <v>2587.5</v>
      </c>
      <c r="H9" s="1">
        <f>1195+2985</f>
        <v>4180</v>
      </c>
      <c r="I9" s="7">
        <f t="shared" si="4"/>
        <v>3799.9999999999995</v>
      </c>
      <c r="J9" s="7">
        <f t="shared" si="5"/>
        <v>380</v>
      </c>
      <c r="K9" s="7">
        <v>0</v>
      </c>
      <c r="L9" s="7">
        <f t="shared" si="6"/>
        <v>0</v>
      </c>
      <c r="M9" s="7">
        <f t="shared" si="7"/>
        <v>0</v>
      </c>
      <c r="N9" s="1">
        <v>1000</v>
      </c>
      <c r="O9" s="7">
        <f t="shared" si="8"/>
        <v>833.33333333333337</v>
      </c>
      <c r="P9" s="7">
        <f t="shared" si="9"/>
        <v>166.66666666666669</v>
      </c>
      <c r="Q9" s="7">
        <v>0</v>
      </c>
      <c r="R9" s="1">
        <f>16455-12000+84280-7677.5-887.5</f>
        <v>80170</v>
      </c>
      <c r="S9" s="1">
        <f>12000+7677.5+887.5</f>
        <v>20565</v>
      </c>
      <c r="T9" s="7">
        <v>0</v>
      </c>
      <c r="U9" s="8">
        <v>69000</v>
      </c>
      <c r="V9" s="4"/>
    </row>
    <row r="10" spans="1:22" x14ac:dyDescent="0.3">
      <c r="A10" s="6">
        <v>46063</v>
      </c>
      <c r="B10" s="1">
        <f>43575+15850+12960.97+3625</f>
        <v>76010.97</v>
      </c>
      <c r="C10" s="7">
        <f t="shared" si="0"/>
        <v>69100.881818181821</v>
      </c>
      <c r="D10" s="7">
        <f t="shared" si="1"/>
        <v>6910.0881818181824</v>
      </c>
      <c r="E10" s="1">
        <f>11405+8650+3157.36+5870</f>
        <v>29082.36</v>
      </c>
      <c r="F10" s="7">
        <f t="shared" si="2"/>
        <v>24235.300000000003</v>
      </c>
      <c r="G10" s="7">
        <f t="shared" si="3"/>
        <v>4847.0600000000004</v>
      </c>
      <c r="H10" s="1">
        <f>1845+1625+266.67+575</f>
        <v>4311.67</v>
      </c>
      <c r="I10" s="7">
        <f t="shared" si="4"/>
        <v>3919.7</v>
      </c>
      <c r="J10" s="7">
        <f t="shared" si="5"/>
        <v>391.97</v>
      </c>
      <c r="K10" s="7">
        <v>0</v>
      </c>
      <c r="L10" s="7">
        <f t="shared" si="6"/>
        <v>0</v>
      </c>
      <c r="M10" s="7">
        <f t="shared" si="7"/>
        <v>0</v>
      </c>
      <c r="N10" s="7">
        <v>0</v>
      </c>
      <c r="O10" s="7">
        <f t="shared" si="8"/>
        <v>0</v>
      </c>
      <c r="P10" s="7">
        <f t="shared" si="9"/>
        <v>0</v>
      </c>
      <c r="Q10" s="1">
        <v>1500</v>
      </c>
      <c r="R10" s="1">
        <f>56825-7750+26125+16385+8570</f>
        <v>100155</v>
      </c>
      <c r="S10" s="1">
        <v>7750</v>
      </c>
      <c r="T10" s="7"/>
      <c r="U10" s="8">
        <f>42525+69770+15500</f>
        <v>127795</v>
      </c>
      <c r="V10" s="4" t="s">
        <v>57</v>
      </c>
    </row>
    <row r="11" spans="1:22" ht="13.8" customHeight="1" x14ac:dyDescent="0.3">
      <c r="A11" s="6">
        <v>46064</v>
      </c>
      <c r="B11" s="7"/>
      <c r="C11" s="7">
        <f t="shared" si="0"/>
        <v>0</v>
      </c>
      <c r="D11" s="7">
        <f t="shared" si="1"/>
        <v>0</v>
      </c>
      <c r="E11" s="7"/>
      <c r="F11" s="7">
        <f t="shared" si="2"/>
        <v>0</v>
      </c>
      <c r="G11" s="7">
        <f t="shared" si="3"/>
        <v>0</v>
      </c>
      <c r="H11" s="7"/>
      <c r="I11" s="7">
        <f t="shared" si="4"/>
        <v>0</v>
      </c>
      <c r="J11" s="7">
        <f t="shared" si="5"/>
        <v>0</v>
      </c>
      <c r="K11" s="7"/>
      <c r="L11" s="7">
        <f t="shared" si="6"/>
        <v>0</v>
      </c>
      <c r="M11" s="7">
        <f t="shared" si="7"/>
        <v>0</v>
      </c>
      <c r="N11" s="7"/>
      <c r="O11" s="7">
        <f t="shared" si="8"/>
        <v>0</v>
      </c>
      <c r="P11" s="7">
        <f t="shared" si="9"/>
        <v>0</v>
      </c>
      <c r="Q11" s="7"/>
      <c r="R11" s="7"/>
      <c r="S11" s="7"/>
      <c r="T11" s="7"/>
      <c r="U11" s="8"/>
      <c r="V11" s="4"/>
    </row>
    <row r="12" spans="1:22" x14ac:dyDescent="0.3">
      <c r="A12" s="6">
        <v>46065</v>
      </c>
      <c r="B12" s="7"/>
      <c r="C12" s="7">
        <f t="shared" si="0"/>
        <v>0</v>
      </c>
      <c r="D12" s="7">
        <f t="shared" si="1"/>
        <v>0</v>
      </c>
      <c r="E12" s="7"/>
      <c r="F12" s="7">
        <f t="shared" si="2"/>
        <v>0</v>
      </c>
      <c r="G12" s="7">
        <f t="shared" si="3"/>
        <v>0</v>
      </c>
      <c r="H12" s="7"/>
      <c r="I12" s="7">
        <f t="shared" si="4"/>
        <v>0</v>
      </c>
      <c r="J12" s="7">
        <f t="shared" si="5"/>
        <v>0</v>
      </c>
      <c r="K12" s="7"/>
      <c r="L12" s="7">
        <f t="shared" si="6"/>
        <v>0</v>
      </c>
      <c r="M12" s="7">
        <f t="shared" si="7"/>
        <v>0</v>
      </c>
      <c r="N12" s="7"/>
      <c r="O12" s="7">
        <f t="shared" si="8"/>
        <v>0</v>
      </c>
      <c r="P12" s="7">
        <f t="shared" si="9"/>
        <v>0</v>
      </c>
      <c r="Q12" s="7"/>
      <c r="R12" s="7"/>
      <c r="S12" s="7"/>
      <c r="T12" s="7"/>
      <c r="U12" s="8"/>
      <c r="V12" s="4"/>
    </row>
    <row r="13" spans="1:22" x14ac:dyDescent="0.3">
      <c r="A13" s="6">
        <v>46066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/>
      <c r="I13" s="7">
        <f t="shared" si="4"/>
        <v>0</v>
      </c>
      <c r="J13" s="7">
        <f t="shared" si="5"/>
        <v>0</v>
      </c>
      <c r="K13" s="7"/>
      <c r="L13" s="7">
        <f t="shared" si="6"/>
        <v>0</v>
      </c>
      <c r="M13" s="7">
        <f t="shared" si="7"/>
        <v>0</v>
      </c>
      <c r="N13" s="7"/>
      <c r="O13" s="7">
        <f t="shared" si="8"/>
        <v>0</v>
      </c>
      <c r="P13" s="7">
        <f t="shared" si="9"/>
        <v>0</v>
      </c>
      <c r="Q13" s="7"/>
      <c r="R13" s="7"/>
      <c r="S13" s="7"/>
      <c r="T13" s="7"/>
      <c r="U13" s="8"/>
      <c r="V13" s="4"/>
    </row>
    <row r="14" spans="1:22" x14ac:dyDescent="0.3">
      <c r="A14" s="6">
        <v>46067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/>
      <c r="I14" s="7">
        <f t="shared" si="4"/>
        <v>0</v>
      </c>
      <c r="J14" s="7">
        <f t="shared" si="5"/>
        <v>0</v>
      </c>
      <c r="K14" s="7"/>
      <c r="L14" s="7">
        <f t="shared" si="6"/>
        <v>0</v>
      </c>
      <c r="M14" s="7">
        <f t="shared" si="7"/>
        <v>0</v>
      </c>
      <c r="N14" s="7"/>
      <c r="O14" s="7">
        <f t="shared" si="8"/>
        <v>0</v>
      </c>
      <c r="P14" s="7">
        <f t="shared" si="9"/>
        <v>0</v>
      </c>
      <c r="Q14" s="7"/>
      <c r="R14" s="7"/>
      <c r="S14" s="7"/>
      <c r="T14" s="7"/>
      <c r="U14" s="8"/>
      <c r="V14" s="4"/>
    </row>
    <row r="15" spans="1:22" x14ac:dyDescent="0.3">
      <c r="A15" s="6">
        <v>46068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/>
      <c r="I15" s="7">
        <f t="shared" si="4"/>
        <v>0</v>
      </c>
      <c r="J15" s="7">
        <f t="shared" si="5"/>
        <v>0</v>
      </c>
      <c r="K15" s="7"/>
      <c r="L15" s="7">
        <f t="shared" si="6"/>
        <v>0</v>
      </c>
      <c r="M15" s="7">
        <f t="shared" si="7"/>
        <v>0</v>
      </c>
      <c r="N15" s="7"/>
      <c r="O15" s="7">
        <f t="shared" si="8"/>
        <v>0</v>
      </c>
      <c r="P15" s="7">
        <f t="shared" si="9"/>
        <v>0</v>
      </c>
      <c r="Q15" s="7"/>
      <c r="R15" s="7"/>
      <c r="S15" s="7"/>
      <c r="T15" s="7"/>
      <c r="U15" s="8"/>
      <c r="V15" s="4"/>
    </row>
    <row r="16" spans="1:22" x14ac:dyDescent="0.3">
      <c r="A16" s="6">
        <v>46069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/>
      <c r="I16" s="7">
        <f t="shared" si="4"/>
        <v>0</v>
      </c>
      <c r="J16" s="7">
        <f t="shared" si="5"/>
        <v>0</v>
      </c>
      <c r="K16" s="7"/>
      <c r="L16" s="7">
        <f t="shared" si="6"/>
        <v>0</v>
      </c>
      <c r="M16" s="7">
        <f t="shared" si="7"/>
        <v>0</v>
      </c>
      <c r="N16" s="7"/>
      <c r="O16" s="7">
        <f t="shared" si="8"/>
        <v>0</v>
      </c>
      <c r="P16" s="7">
        <f t="shared" si="9"/>
        <v>0</v>
      </c>
      <c r="Q16" s="7"/>
      <c r="R16" s="7"/>
      <c r="S16" s="7"/>
      <c r="T16" s="14"/>
      <c r="U16" s="7"/>
      <c r="V16" s="4"/>
    </row>
    <row r="17" spans="1:22" x14ac:dyDescent="0.3">
      <c r="A17" s="6">
        <v>46070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/>
      <c r="I17" s="7">
        <f t="shared" si="4"/>
        <v>0</v>
      </c>
      <c r="J17" s="7">
        <f t="shared" si="5"/>
        <v>0</v>
      </c>
      <c r="K17" s="7"/>
      <c r="L17" s="7">
        <f t="shared" si="6"/>
        <v>0</v>
      </c>
      <c r="M17" s="7">
        <f t="shared" si="7"/>
        <v>0</v>
      </c>
      <c r="N17" s="7"/>
      <c r="O17" s="7">
        <f t="shared" si="8"/>
        <v>0</v>
      </c>
      <c r="P17" s="7">
        <f t="shared" si="9"/>
        <v>0</v>
      </c>
      <c r="Q17" s="7"/>
      <c r="R17" s="7"/>
      <c r="S17" s="7"/>
      <c r="T17" s="7"/>
      <c r="U17" s="8"/>
      <c r="V17" s="4"/>
    </row>
    <row r="18" spans="1:22" x14ac:dyDescent="0.3">
      <c r="A18" s="6">
        <v>46071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/>
      <c r="I18" s="7">
        <f t="shared" si="4"/>
        <v>0</v>
      </c>
      <c r="J18" s="7">
        <f t="shared" si="5"/>
        <v>0</v>
      </c>
      <c r="K18" s="7"/>
      <c r="L18" s="7">
        <f t="shared" si="6"/>
        <v>0</v>
      </c>
      <c r="M18" s="7">
        <f t="shared" si="7"/>
        <v>0</v>
      </c>
      <c r="N18" s="7"/>
      <c r="O18" s="7">
        <f t="shared" si="8"/>
        <v>0</v>
      </c>
      <c r="P18" s="7">
        <f t="shared" si="9"/>
        <v>0</v>
      </c>
      <c r="Q18" s="7"/>
      <c r="R18" s="7"/>
      <c r="S18" s="7"/>
      <c r="T18" s="7"/>
      <c r="U18" s="8"/>
      <c r="V18" s="4"/>
    </row>
    <row r="19" spans="1:22" x14ac:dyDescent="0.3">
      <c r="A19" s="6">
        <v>46072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/>
      <c r="I19" s="7">
        <f t="shared" si="4"/>
        <v>0</v>
      </c>
      <c r="J19" s="7">
        <f t="shared" si="5"/>
        <v>0</v>
      </c>
      <c r="K19" s="7"/>
      <c r="L19" s="7">
        <f t="shared" si="6"/>
        <v>0</v>
      </c>
      <c r="M19" s="7">
        <f t="shared" si="7"/>
        <v>0</v>
      </c>
      <c r="N19" s="7"/>
      <c r="O19" s="7">
        <f t="shared" si="8"/>
        <v>0</v>
      </c>
      <c r="P19" s="7">
        <f t="shared" si="9"/>
        <v>0</v>
      </c>
      <c r="Q19" s="7"/>
      <c r="R19" s="7"/>
      <c r="S19" s="7"/>
      <c r="T19" s="7"/>
      <c r="U19" s="8"/>
      <c r="V19" s="4"/>
    </row>
    <row r="20" spans="1:22" x14ac:dyDescent="0.3">
      <c r="A20" s="6">
        <v>46073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/>
      <c r="I20" s="7">
        <f t="shared" si="4"/>
        <v>0</v>
      </c>
      <c r="J20" s="7">
        <f t="shared" si="5"/>
        <v>0</v>
      </c>
      <c r="K20" s="7"/>
      <c r="L20" s="7">
        <f t="shared" si="6"/>
        <v>0</v>
      </c>
      <c r="M20" s="7">
        <f t="shared" si="7"/>
        <v>0</v>
      </c>
      <c r="N20" s="7"/>
      <c r="O20" s="7">
        <f t="shared" si="8"/>
        <v>0</v>
      </c>
      <c r="P20" s="7">
        <f t="shared" si="9"/>
        <v>0</v>
      </c>
      <c r="Q20" s="7"/>
      <c r="R20" s="7"/>
      <c r="S20" s="7"/>
      <c r="T20" s="7"/>
      <c r="U20" s="8"/>
      <c r="V20" s="4"/>
    </row>
    <row r="21" spans="1:22" x14ac:dyDescent="0.3">
      <c r="A21" s="6">
        <v>46074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/>
      <c r="I21" s="7">
        <f t="shared" si="4"/>
        <v>0</v>
      </c>
      <c r="J21" s="7">
        <f t="shared" si="5"/>
        <v>0</v>
      </c>
      <c r="K21" s="7"/>
      <c r="L21" s="7">
        <f t="shared" si="6"/>
        <v>0</v>
      </c>
      <c r="M21" s="7">
        <f t="shared" si="7"/>
        <v>0</v>
      </c>
      <c r="N21" s="7"/>
      <c r="O21" s="7">
        <f t="shared" si="8"/>
        <v>0</v>
      </c>
      <c r="P21" s="7">
        <f t="shared" si="9"/>
        <v>0</v>
      </c>
      <c r="Q21" s="7"/>
      <c r="R21" s="7"/>
      <c r="S21" s="7"/>
      <c r="T21" s="7"/>
      <c r="U21" s="8"/>
      <c r="V21" s="4"/>
    </row>
    <row r="22" spans="1:22" x14ac:dyDescent="0.3">
      <c r="A22" s="6">
        <v>46075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/>
      <c r="I22" s="7">
        <f t="shared" si="4"/>
        <v>0</v>
      </c>
      <c r="J22" s="7">
        <f t="shared" si="5"/>
        <v>0</v>
      </c>
      <c r="K22" s="7"/>
      <c r="L22" s="7">
        <f t="shared" si="6"/>
        <v>0</v>
      </c>
      <c r="M22" s="7">
        <f t="shared" si="7"/>
        <v>0</v>
      </c>
      <c r="N22" s="7"/>
      <c r="O22" s="7">
        <f t="shared" si="8"/>
        <v>0</v>
      </c>
      <c r="P22" s="7">
        <f t="shared" si="9"/>
        <v>0</v>
      </c>
      <c r="Q22" s="7"/>
      <c r="R22" s="7"/>
      <c r="S22" s="7"/>
      <c r="T22" s="7"/>
      <c r="U22" s="8"/>
      <c r="V22" s="4"/>
    </row>
    <row r="23" spans="1:22" x14ac:dyDescent="0.3">
      <c r="A23" s="6">
        <v>46076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/>
      <c r="I23" s="7">
        <f t="shared" si="4"/>
        <v>0</v>
      </c>
      <c r="J23" s="7">
        <f t="shared" si="5"/>
        <v>0</v>
      </c>
      <c r="K23" s="7"/>
      <c r="L23" s="7">
        <f t="shared" si="6"/>
        <v>0</v>
      </c>
      <c r="M23" s="7">
        <f t="shared" si="7"/>
        <v>0</v>
      </c>
      <c r="N23" s="7"/>
      <c r="O23" s="7">
        <f t="shared" si="8"/>
        <v>0</v>
      </c>
      <c r="P23" s="7">
        <f t="shared" si="9"/>
        <v>0</v>
      </c>
      <c r="Q23" s="7"/>
      <c r="R23" s="7"/>
      <c r="S23" s="7"/>
      <c r="T23" s="7"/>
      <c r="U23" s="8"/>
      <c r="V23" s="4"/>
    </row>
    <row r="24" spans="1:22" x14ac:dyDescent="0.3">
      <c r="A24" s="6">
        <v>46077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/>
      <c r="I24" s="7">
        <f t="shared" si="4"/>
        <v>0</v>
      </c>
      <c r="J24" s="7">
        <f t="shared" si="5"/>
        <v>0</v>
      </c>
      <c r="K24" s="7"/>
      <c r="L24" s="7">
        <f t="shared" si="6"/>
        <v>0</v>
      </c>
      <c r="M24" s="7">
        <f t="shared" si="7"/>
        <v>0</v>
      </c>
      <c r="N24" s="7"/>
      <c r="O24" s="7">
        <f t="shared" si="8"/>
        <v>0</v>
      </c>
      <c r="P24" s="7">
        <f t="shared" si="9"/>
        <v>0</v>
      </c>
      <c r="Q24" s="7"/>
      <c r="R24" s="7"/>
      <c r="S24" s="7"/>
      <c r="T24" s="7"/>
      <c r="U24" s="8"/>
      <c r="V24" s="4"/>
    </row>
    <row r="25" spans="1:22" x14ac:dyDescent="0.3">
      <c r="A25" s="6">
        <v>46078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/>
      <c r="I25" s="7">
        <f t="shared" si="4"/>
        <v>0</v>
      </c>
      <c r="J25" s="7">
        <f t="shared" si="5"/>
        <v>0</v>
      </c>
      <c r="K25" s="7"/>
      <c r="L25" s="7">
        <f t="shared" si="6"/>
        <v>0</v>
      </c>
      <c r="M25" s="7">
        <f t="shared" si="7"/>
        <v>0</v>
      </c>
      <c r="N25" s="7"/>
      <c r="O25" s="7">
        <f t="shared" si="8"/>
        <v>0</v>
      </c>
      <c r="P25" s="7">
        <f t="shared" si="9"/>
        <v>0</v>
      </c>
      <c r="Q25" s="7"/>
      <c r="R25" s="7"/>
      <c r="S25" s="7"/>
      <c r="T25" s="7"/>
      <c r="U25" s="8"/>
      <c r="V25" s="4"/>
    </row>
    <row r="26" spans="1:22" x14ac:dyDescent="0.3">
      <c r="A26" s="6">
        <v>46079</v>
      </c>
      <c r="B26" s="7"/>
      <c r="C26" s="7">
        <f t="shared" si="0"/>
        <v>0</v>
      </c>
      <c r="D26" s="7">
        <f t="shared" si="1"/>
        <v>0</v>
      </c>
      <c r="E26" s="7"/>
      <c r="F26" s="7">
        <f t="shared" si="2"/>
        <v>0</v>
      </c>
      <c r="G26" s="7">
        <f t="shared" si="3"/>
        <v>0</v>
      </c>
      <c r="H26" s="7"/>
      <c r="I26" s="7">
        <f t="shared" si="4"/>
        <v>0</v>
      </c>
      <c r="J26" s="7">
        <f t="shared" si="5"/>
        <v>0</v>
      </c>
      <c r="K26" s="7"/>
      <c r="L26" s="7">
        <f t="shared" si="6"/>
        <v>0</v>
      </c>
      <c r="M26" s="7">
        <f t="shared" si="7"/>
        <v>0</v>
      </c>
      <c r="N26" s="7"/>
      <c r="O26" s="7">
        <f t="shared" si="8"/>
        <v>0</v>
      </c>
      <c r="P26" s="7">
        <f t="shared" si="9"/>
        <v>0</v>
      </c>
      <c r="Q26" s="7"/>
      <c r="R26" s="7"/>
      <c r="S26" s="7"/>
      <c r="T26" s="7"/>
      <c r="U26" s="8"/>
      <c r="V26" s="4"/>
    </row>
    <row r="27" spans="1:22" x14ac:dyDescent="0.3">
      <c r="A27" s="6">
        <v>46080</v>
      </c>
      <c r="B27" s="7"/>
      <c r="C27" s="7">
        <f t="shared" si="0"/>
        <v>0</v>
      </c>
      <c r="D27" s="7">
        <f t="shared" si="1"/>
        <v>0</v>
      </c>
      <c r="E27" s="7"/>
      <c r="F27" s="7">
        <f t="shared" si="2"/>
        <v>0</v>
      </c>
      <c r="G27" s="7">
        <f t="shared" si="3"/>
        <v>0</v>
      </c>
      <c r="H27" s="7"/>
      <c r="I27" s="7">
        <f t="shared" si="4"/>
        <v>0</v>
      </c>
      <c r="J27" s="7">
        <f t="shared" si="5"/>
        <v>0</v>
      </c>
      <c r="K27" s="7"/>
      <c r="L27" s="7">
        <f t="shared" si="6"/>
        <v>0</v>
      </c>
      <c r="M27" s="7">
        <f t="shared" si="7"/>
        <v>0</v>
      </c>
      <c r="N27" s="7"/>
      <c r="O27" s="7">
        <f t="shared" si="8"/>
        <v>0</v>
      </c>
      <c r="P27" s="7">
        <f t="shared" si="9"/>
        <v>0</v>
      </c>
      <c r="Q27" s="7"/>
      <c r="R27" s="7"/>
      <c r="S27" s="7"/>
      <c r="T27" s="7"/>
      <c r="U27" s="8"/>
      <c r="V27" s="4"/>
    </row>
    <row r="28" spans="1:22" x14ac:dyDescent="0.3">
      <c r="A28" s="6">
        <v>46081</v>
      </c>
      <c r="B28" s="7"/>
      <c r="C28" s="7">
        <f t="shared" si="0"/>
        <v>0</v>
      </c>
      <c r="D28" s="7">
        <f t="shared" si="1"/>
        <v>0</v>
      </c>
      <c r="E28" s="7"/>
      <c r="F28" s="7">
        <f t="shared" si="2"/>
        <v>0</v>
      </c>
      <c r="G28" s="7">
        <f t="shared" si="3"/>
        <v>0</v>
      </c>
      <c r="H28" s="7"/>
      <c r="I28" s="7">
        <f t="shared" si="4"/>
        <v>0</v>
      </c>
      <c r="J28" s="7">
        <f t="shared" si="5"/>
        <v>0</v>
      </c>
      <c r="K28" s="7"/>
      <c r="L28" s="7">
        <f t="shared" si="6"/>
        <v>0</v>
      </c>
      <c r="M28" s="7">
        <f t="shared" si="7"/>
        <v>0</v>
      </c>
      <c r="N28" s="7"/>
      <c r="O28" s="7">
        <f t="shared" si="8"/>
        <v>0</v>
      </c>
      <c r="P28" s="7">
        <f t="shared" si="9"/>
        <v>0</v>
      </c>
      <c r="Q28" s="7"/>
      <c r="R28" s="7"/>
      <c r="S28" s="7"/>
      <c r="T28" s="7"/>
      <c r="U28" s="8"/>
      <c r="V28" s="9"/>
    </row>
    <row r="29" spans="1:22" x14ac:dyDescent="0.3">
      <c r="B29" s="11">
        <f>SUM(B3:B28)</f>
        <v>460936.95999999996</v>
      </c>
      <c r="C29" s="12">
        <f>B29/1.1</f>
        <v>419033.59999999992</v>
      </c>
      <c r="D29" s="12">
        <f t="shared" ref="D29" si="10">C29*10/100</f>
        <v>41903.359999999993</v>
      </c>
      <c r="E29" s="11">
        <f>SUM(E3:E28)</f>
        <v>164673.12</v>
      </c>
      <c r="F29" s="12">
        <f t="shared" si="2"/>
        <v>137227.6</v>
      </c>
      <c r="G29" s="12">
        <f t="shared" ref="G29" si="11">F29*20/100</f>
        <v>27445.52</v>
      </c>
      <c r="H29" s="11">
        <f>SUM(H3:H28)</f>
        <v>22381.42</v>
      </c>
      <c r="I29" s="12">
        <f t="shared" si="4"/>
        <v>20346.745454545453</v>
      </c>
      <c r="J29" s="12">
        <f t="shared" ref="J29" si="12">I29*10/100</f>
        <v>2034.6745454545453</v>
      </c>
      <c r="K29" s="11">
        <f>SUM(K3:K28)</f>
        <v>1150</v>
      </c>
      <c r="L29" s="12">
        <f t="shared" si="6"/>
        <v>958.33333333333337</v>
      </c>
      <c r="M29" s="12">
        <f t="shared" ref="M29" si="13">L29*20/100</f>
        <v>191.66666666666669</v>
      </c>
      <c r="N29" s="11">
        <f>SUM(N3:N28)</f>
        <v>1375</v>
      </c>
      <c r="O29" s="12">
        <f t="shared" si="8"/>
        <v>1145.8333333333335</v>
      </c>
      <c r="P29" s="12">
        <f t="shared" ref="P29" si="14">O29*20/100</f>
        <v>229.16666666666671</v>
      </c>
      <c r="Q29" s="11">
        <f>SUM(Q3:Q28)</f>
        <v>26125</v>
      </c>
      <c r="R29" s="11">
        <f>SUM(R3:R28)</f>
        <v>571256.5</v>
      </c>
      <c r="S29" s="11">
        <f>SUM(S3:S28)</f>
        <v>53135</v>
      </c>
      <c r="T29" s="11">
        <f>SUM(T3:T28)</f>
        <v>20945</v>
      </c>
      <c r="U29" s="11">
        <f>SUM(U3:U28)</f>
        <v>783148</v>
      </c>
      <c r="V29" s="4"/>
    </row>
    <row r="35" spans="2:17" x14ac:dyDescent="0.3">
      <c r="B35" s="13"/>
    </row>
    <row r="36" spans="2:17" x14ac:dyDescent="0.3">
      <c r="Q36" s="1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2025-10-16T13:15:39Z</cp:lastPrinted>
  <dcterms:created xsi:type="dcterms:W3CDTF">2023-03-28T06:21:12Z</dcterms:created>
  <dcterms:modified xsi:type="dcterms:W3CDTF">2026-02-11T15:03:35Z</dcterms:modified>
  <cp:category/>
  <cp:contentStatus/>
</cp:coreProperties>
</file>